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30" windowHeight="8790" tabRatio="535" firstSheet="33" activeTab="41"/>
  </bookViews>
  <sheets>
    <sheet name="Feb 00" sheetId="1" r:id="rId1"/>
    <sheet name="Mar 00 cor" sheetId="2" r:id="rId2"/>
    <sheet name="Mar 00" sheetId="3" r:id="rId3"/>
    <sheet name="April  00" sheetId="4" r:id="rId4"/>
    <sheet name="May 00" sheetId="5" r:id="rId5"/>
    <sheet name="Jun 00" sheetId="6" r:id="rId6"/>
    <sheet name="July 00" sheetId="7" r:id="rId7"/>
    <sheet name="Aug 00" sheetId="8" r:id="rId8"/>
    <sheet name="Sept 00" sheetId="9" r:id="rId9"/>
    <sheet name="Oct 00" sheetId="10" r:id="rId10"/>
    <sheet name="Nov 00" sheetId="11" r:id="rId11"/>
    <sheet name="Dec 00" sheetId="12" r:id="rId12"/>
    <sheet name="Jan 01" sheetId="13" r:id="rId13"/>
    <sheet name="Feb 01" sheetId="14" r:id="rId14"/>
    <sheet name="Mar 01" sheetId="15" r:id="rId15"/>
    <sheet name="Apr 01" sheetId="16" r:id="rId16"/>
    <sheet name="May 01" sheetId="17" r:id="rId17"/>
    <sheet name="Jun 01" sheetId="18" r:id="rId18"/>
    <sheet name="Jul 01" sheetId="19" r:id="rId19"/>
    <sheet name="Aug 01" sheetId="20" r:id="rId20"/>
    <sheet name="Sep 01" sheetId="21" r:id="rId21"/>
    <sheet name="Oct 01" sheetId="22" r:id="rId22"/>
    <sheet name="Nov 01" sheetId="23" r:id="rId23"/>
    <sheet name="Dec 01" sheetId="24" r:id="rId24"/>
    <sheet name="Jan 02" sheetId="25" r:id="rId25"/>
    <sheet name="Feb 02" sheetId="26" r:id="rId26"/>
    <sheet name="Mar 02" sheetId="27" r:id="rId27"/>
    <sheet name="Apr 02" sheetId="28" r:id="rId28"/>
    <sheet name="May 02" sheetId="29" r:id="rId29"/>
    <sheet name="Jun 02" sheetId="30" r:id="rId30"/>
    <sheet name="Jul 02" sheetId="31" r:id="rId31"/>
    <sheet name="Aug 02" sheetId="32" r:id="rId32"/>
    <sheet name="Sep 02" sheetId="33" r:id="rId33"/>
    <sheet name="Oct 02" sheetId="34" r:id="rId34"/>
    <sheet name="Nov 02" sheetId="35" r:id="rId35"/>
    <sheet name="Dec 02" sheetId="36" r:id="rId36"/>
    <sheet name="Jan 03" sheetId="37" r:id="rId37"/>
    <sheet name="WBS Expended" sheetId="38" r:id="rId38"/>
    <sheet name="Invoices Apr-Aug 02" sheetId="39" r:id="rId39"/>
    <sheet name="Engineering" sheetId="40" r:id="rId40"/>
    <sheet name="9715" sheetId="41" r:id="rId41"/>
    <sheet name="9725" sheetId="42" r:id="rId42"/>
    <sheet name="Travel" sheetId="43" r:id="rId43"/>
    <sheet name="Cost 5_02" sheetId="44" r:id="rId44"/>
    <sheet name="Cost 12_11" sheetId="45" r:id="rId45"/>
    <sheet name="CPR110202" sheetId="46" r:id="rId46"/>
    <sheet name="CPR 080202" sheetId="47" r:id="rId47"/>
    <sheet name="WBS 10_02" sheetId="48" r:id="rId48"/>
    <sheet name="Task_Table 9_01" sheetId="49" r:id="rId49"/>
    <sheet name="FNAL Accounting" sheetId="50" r:id="rId50"/>
    <sheet name="Engineering Data" sheetId="51" r:id="rId51"/>
    <sheet name="Engineering Workload" sheetId="52" r:id="rId52"/>
  </sheets>
  <definedNames/>
  <calcPr fullCalcOnLoad="1"/>
</workbook>
</file>

<file path=xl/comments13.xml><?xml version="1.0" encoding="utf-8"?>
<comments xmlns="http://schemas.openxmlformats.org/spreadsheetml/2006/main">
  <authors>
    <author>Drew Baden</author>
  </authors>
  <commentList>
    <comment ref="F4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changed sep 01 due to overruns in this WBS
</t>
        </r>
      </text>
    </comment>
  </commentList>
</comments>
</file>

<file path=xl/comments30.xml><?xml version="1.0" encoding="utf-8"?>
<comments xmlns="http://schemas.openxmlformats.org/spreadsheetml/2006/main">
  <authors>
    <author>Drew Baden</author>
  </authors>
  <commentList>
    <comment ref="D3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to be credited...</t>
        </r>
      </text>
    </comment>
    <comment ref="D4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to be credited...</t>
        </r>
      </text>
    </comment>
    <comment ref="D4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to be credited...</t>
        </r>
      </text>
    </comment>
    <comment ref="D4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to be credited...</t>
        </r>
      </text>
    </comment>
    <comment ref="D7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FRS records a $12,075.64 debit and a $5,835.96 credit = this value</t>
        </r>
      </text>
    </comment>
  </commentList>
</comments>
</file>

<file path=xl/comments44.xml><?xml version="1.0" encoding="utf-8"?>
<comments xmlns="http://schemas.openxmlformats.org/spreadsheetml/2006/main">
  <authors>
    <author>Drew Baden</author>
  </authors>
  <commentList>
    <comment ref="H1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add $100 for xtal</t>
        </r>
      </text>
    </comment>
    <comment ref="H1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these are the x2, not the x4 parts</t>
        </r>
      </text>
    </comment>
    <comment ref="H6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more expensive due to all the constant impedance characteristics, etc.</t>
        </r>
      </text>
    </comment>
    <comment ref="B3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20% cards, 10% commercial parts</t>
        </r>
      </text>
    </comment>
    <comment ref="B64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20% cards, 10% commercial parts</t>
        </r>
      </text>
    </comment>
    <comment ref="B6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20% cards, 10% commercial parts</t>
        </r>
      </text>
    </comment>
    <comment ref="L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$5.7k for DCC, $500 for S-Link64</t>
        </r>
      </text>
    </comment>
    <comment ref="G6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BU wants 7 spares</t>
        </r>
      </text>
    </comment>
    <comment ref="B46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same numbers as HTRs if HO is put into the trigger</t>
        </r>
      </text>
    </comment>
  </commentList>
</comments>
</file>

<file path=xl/comments45.xml><?xml version="1.0" encoding="utf-8"?>
<comments xmlns="http://schemas.openxmlformats.org/spreadsheetml/2006/main">
  <authors>
    <author>Drew Baden</author>
    <author> </author>
  </authors>
  <commentList>
    <comment ref="F94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rack and rack computer</t>
        </r>
      </text>
    </comment>
    <comment ref="F87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does not include bit3 cards (changed to DCSi) 11/02</t>
        </r>
      </text>
    </comment>
    <comment ref="F10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for HB, HE, and HF (not HO)</t>
        </r>
      </text>
    </comment>
    <comment ref="F10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obsolete, current plans have SLBs on HTR motherboard</t>
        </r>
      </text>
    </comment>
    <comment ref="F8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does not include bit3 cards (changed to DCSi) 11/02</t>
        </r>
      </text>
    </comment>
    <comment ref="F96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rack and rack computer</t>
        </r>
      </text>
    </comment>
    <comment ref="F97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rack and rack computer</t>
        </r>
      </text>
    </comment>
    <comment ref="F9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rack and rack computer</t>
        </r>
      </text>
    </comment>
    <comment ref="F8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does not include bit3 cards (changed to DCSi) 11/02</t>
        </r>
      </text>
    </comment>
    <comment ref="F9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does not include bit3 cards (changed to DCSi) 11/02</t>
        </r>
      </text>
    </comment>
    <comment ref="H25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BU wants 7 spares</t>
        </r>
      </text>
    </comment>
    <comment ref="C25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use 20% here</t>
        </r>
      </text>
    </comment>
    <comment ref="C25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test stands, etc</t>
        </r>
      </text>
    </comment>
    <comment ref="C26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20% here because the numbers are so small</t>
        </r>
      </text>
    </comment>
    <comment ref="F5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shipping to FNAL or BU for system checkout, then to CERN</t>
        </r>
      </text>
    </comment>
    <comment ref="F5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shipping to FNAL or BU for system checkout, then to CERN</t>
        </r>
      </text>
    </comment>
    <comment ref="F6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shipping to FNAL or BU for system checkout, then to CERN</t>
        </r>
      </text>
    </comment>
    <comment ref="F6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shipping to FNAL or BU for system checkout, then to CERN</t>
        </r>
      </text>
    </comment>
    <comment ref="D5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Nov02 project file</t>
        </r>
      </text>
    </comment>
    <comment ref="C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benefits and 48% overhead</t>
        </r>
      </text>
    </comment>
    <comment ref="F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till end of CY 2003</t>
        </r>
      </text>
    </comment>
    <comment ref="D2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CPR 080202</t>
        </r>
      </text>
    </comment>
    <comment ref="C22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fully stuffed</t>
        </r>
      </text>
    </comment>
    <comment ref="K1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number of extra boards to build for test stands, etc. (not included in cms running spares)</t>
        </r>
      </text>
    </comment>
    <comment ref="D1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boards</t>
        </r>
      </text>
    </comment>
    <comment ref="E1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fraction of spare fully populated boards</t>
        </r>
      </text>
    </comment>
    <comment ref="F1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spare boards</t>
        </r>
      </text>
    </comment>
    <comment ref="D17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boards</t>
        </r>
      </text>
    </comment>
    <comment ref="E17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fraction of spare fully populated boards</t>
        </r>
      </text>
    </comment>
    <comment ref="F17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spare boards</t>
        </r>
      </text>
    </comment>
    <comment ref="K17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number of extra boards to build for test stands, etc. (not included in cms running spares)</t>
        </r>
      </text>
    </comment>
    <comment ref="D1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boards</t>
        </r>
      </text>
    </comment>
    <comment ref="E1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fraction of spare fully populated boards</t>
        </r>
      </text>
    </comment>
    <comment ref="F1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spare boards</t>
        </r>
      </text>
    </comment>
    <comment ref="K1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number of extra boards to build for test stands, etc. (not included in cms running spares)</t>
        </r>
      </text>
    </comment>
    <comment ref="D1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boards</t>
        </r>
      </text>
    </comment>
    <comment ref="E1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fraction of spare fully populated boards</t>
        </r>
      </text>
    </comment>
    <comment ref="F1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number of spare boards</t>
        </r>
      </text>
    </comment>
    <comment ref="K1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number of extra boards to build for test stands, etc. (not included in cms running spares)</t>
        </r>
      </text>
    </comment>
    <comment ref="E21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previous estimate was $6.2k:  $5.7k for DCC, $500 for S-Link64</t>
        </r>
      </text>
    </comment>
    <comment ref="I19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difference between HB only having 3000s and all having 3000s, calculated by changing the value in the above table</t>
        </r>
      </text>
    </comment>
    <comment ref="I19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cost if all systems have 3000s
</t>
        </r>
      </text>
    </comment>
    <comment ref="I19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total cost if only HB has 3000s</t>
        </r>
      </text>
    </comment>
    <comment ref="I19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calculated by multiplying the number of 2000s by the cost difference (as a check against the above number)</t>
        </r>
      </text>
    </comment>
    <comment ref="E13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stratos asks $100, we add 10% for allied</t>
        </r>
      </text>
    </comment>
    <comment ref="E13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per julie whitmore's estimate of $300/HTR for 8way and the 8-&gt;LC pigtails or $330 if we use the 12-way trunk cables. Julie says to use $330</t>
        </r>
      </text>
    </comment>
    <comment ref="C13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plus pigtail, etc</t>
        </r>
      </text>
    </comment>
    <comment ref="C139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vme crystal, buffers, connectors, front panel, insertion handles, stiffeners, slb connectors... ...</t>
        </r>
      </text>
    </comment>
    <comment ref="C13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high quality pecl crystal for the TI serdes</t>
        </r>
      </text>
    </comment>
    <comment ref="C14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increases due to going to a 12 layer board</t>
        </r>
      </text>
    </comment>
    <comment ref="J94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20 pmc connectors x $5</t>
        </r>
      </text>
    </comment>
    <comment ref="J10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to put standoffs, stiffeners, front panel stuff together, etc</t>
        </r>
      </text>
    </comment>
    <comment ref="J10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differential drivers, caps, resistors, etc.</t>
        </r>
      </text>
    </comment>
    <comment ref="E5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from CPR 110202</t>
        </r>
      </text>
    </comment>
    <comment ref="D12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Jim Rohlf</t>
        </r>
      </text>
    </comment>
    <comment ref="E12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works out to be 1 per VME crate on average</t>
        </r>
      </text>
    </comment>
    <comment ref="L2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CPR 080202</t>
        </r>
      </text>
    </comment>
    <comment ref="G19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additional TTCrx for DCC and fanout boards</t>
        </r>
      </text>
    </comment>
    <comment ref="E13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Allied's price, but Insight quote was $12</t>
        </r>
      </text>
    </comment>
    <comment ref="F5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increased spares to 20% and used XC2V3000s instead of 2000s</t>
        </r>
      </text>
    </comment>
    <comment ref="F10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15m quad cables</t>
        </r>
      </text>
    </comment>
    <comment ref="E14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Data Circuits quote, $250 but including setup fees will come to around $300</t>
        </r>
      </text>
    </comment>
    <comment ref="E14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$300 zentech quote, add $50 for setup fees</t>
        </r>
      </text>
    </comment>
  </commentList>
</comments>
</file>

<file path=xl/comments47.xml><?xml version="1.0" encoding="utf-8"?>
<comments xmlns="http://schemas.openxmlformats.org/spreadsheetml/2006/main">
  <authors>
    <author>Drew Baden</author>
  </authors>
  <commentList>
    <comment ref="C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work that has been schedule</t>
        </r>
      </text>
    </comment>
    <comment ref="D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work performed</t>
        </r>
      </text>
    </comment>
    <comment ref="E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actual costs that have come in and charged</t>
        </r>
      </text>
    </comment>
    <comment ref="F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what has been committed</t>
        </r>
      </text>
    </comment>
    <comment ref="G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what has already been paid (not necessarily what the budget is)</t>
        </r>
      </text>
    </comment>
    <comment ref="H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schedule variance (difference between work scheduled and performed)</t>
        </r>
      </text>
    </comment>
    <comment ref="I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difference between work performed and actuals</t>
        </r>
      </text>
    </comment>
    <comment ref="J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flat budget</t>
        </r>
      </text>
    </comment>
    <comment ref="K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includes inflation</t>
        </r>
      </text>
    </comment>
    <comment ref="L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estimate at completion</t>
        </r>
      </text>
    </comment>
  </commentList>
</comments>
</file>

<file path=xl/comments48.xml><?xml version="1.0" encoding="utf-8"?>
<comments xmlns="http://schemas.openxmlformats.org/spreadsheetml/2006/main">
  <authors>
    <author>Drew Baden</author>
  </authors>
  <commentList>
    <comment ref="F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Cost 10_02</t>
        </r>
      </text>
    </comment>
    <comment ref="I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increased costs to finish (this is what needs to be added)</t>
        </r>
      </text>
    </comment>
    <comment ref="K2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remaining funds as reported in the aug 2002 cpr</t>
        </r>
      </text>
    </comment>
  </commentList>
</comments>
</file>

<file path=xl/comments49.xml><?xml version="1.0" encoding="utf-8"?>
<comments xmlns="http://schemas.openxmlformats.org/spreadsheetml/2006/main">
  <authors>
    <author>Drew Baden</author>
  </authors>
  <commentList>
    <comment ref="L76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increases deal with production assembly-line considerations</t>
        </r>
      </text>
    </comment>
    <comment ref="L83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spares accounted for in M&amp;S directly</t>
        </r>
      </text>
    </comment>
    <comment ref="J110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From Terry Sep 01</t>
        </r>
      </text>
    </comment>
    <comment ref="K42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same as number of HTR including spares</t>
        </r>
      </text>
    </comment>
    <comment ref="L381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add 180k engineering</t>
        </r>
      </text>
    </comment>
    <comment ref="F4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daily rate</t>
        </r>
      </text>
    </comment>
    <comment ref="F5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daily rate</t>
        </r>
      </text>
    </comment>
    <comment ref="F6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daily rate</t>
        </r>
      </text>
    </comment>
    <comment ref="F7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daily rate</t>
        </r>
      </text>
    </comment>
    <comment ref="F8" authorId="0">
      <text>
        <r>
          <rPr>
            <b/>
            <sz val="8"/>
            <rFont val="Tahoma"/>
            <family val="0"/>
          </rPr>
          <t>Drew Baden:</t>
        </r>
        <r>
          <rPr>
            <sz val="8"/>
            <rFont val="Tahoma"/>
            <family val="0"/>
          </rPr>
          <t xml:space="preserve">
daily rate</t>
        </r>
      </text>
    </comment>
  </commentList>
</comments>
</file>

<file path=xl/sharedStrings.xml><?xml version="1.0" encoding="utf-8"?>
<sst xmlns="http://schemas.openxmlformats.org/spreadsheetml/2006/main" count="9147" uniqueCount="1845">
  <si>
    <t>Ship VME Relay Racks to CERN (Zero Cost-Purchase in Europe)</t>
  </si>
  <si>
    <t>2.1.7.6</t>
  </si>
  <si>
    <t>Level 1 Trigger Links</t>
  </si>
  <si>
    <t>2.1.7.6.1</t>
  </si>
  <si>
    <t>Trigger Link Acquisition</t>
  </si>
  <si>
    <t>2.1.7.6.2</t>
  </si>
  <si>
    <t>Level 1 Trigger Links Engineering Support</t>
  </si>
  <si>
    <t>2.1.7.6.3</t>
  </si>
  <si>
    <t>Ship Level 1 Trigger Links to CERN</t>
  </si>
  <si>
    <t>2.1.7.7</t>
  </si>
  <si>
    <t>DCC Input Link</t>
  </si>
  <si>
    <t>2.1.7.7.1</t>
  </si>
  <si>
    <t>DCC Input Link M&amp;S</t>
  </si>
  <si>
    <t>2.1.7.7.2</t>
  </si>
  <si>
    <t>Ship DCC Input Link to CERN</t>
  </si>
  <si>
    <t>2.1.7.9</t>
  </si>
  <si>
    <t>VME Pipeline Module</t>
  </si>
  <si>
    <t>2.1.7.9.1</t>
  </si>
  <si>
    <t>VME Pipeline Module Integration</t>
  </si>
  <si>
    <t>2.1.7.9.2</t>
  </si>
  <si>
    <t>VME Pipeline Module M&amp;S</t>
  </si>
  <si>
    <t>2.1.7.9.3</t>
  </si>
  <si>
    <t>Ship VME Pipeline Module to CERN</t>
  </si>
  <si>
    <t>2.1.7.10</t>
  </si>
  <si>
    <t>HCAL Readout Control (HRC) Module</t>
  </si>
  <si>
    <t>2.1.7.10.1</t>
  </si>
  <si>
    <t>HRC Requirements Report</t>
  </si>
  <si>
    <t>2.1.7.10.2</t>
  </si>
  <si>
    <t>HRC Specification Report</t>
  </si>
  <si>
    <t>2.1.7.10.3</t>
  </si>
  <si>
    <t>HRC Demonstrator Module (6U VME)</t>
  </si>
  <si>
    <t>2.1.7.10.3.1</t>
  </si>
  <si>
    <t>HRC Demonstrator Module Design &amp; Testing</t>
  </si>
  <si>
    <t>2.1.7.10.3.2</t>
  </si>
  <si>
    <t>HRC Demonstrator Module M&amp;S</t>
  </si>
  <si>
    <t>HTR Boards to Build for CMS Running</t>
  </si>
  <si>
    <t>Raw Data</t>
  </si>
  <si>
    <t>Calibration</t>
  </si>
  <si>
    <t>2.1.7.10.4</t>
  </si>
  <si>
    <t>HRC Prototype Module (9U VME)</t>
  </si>
  <si>
    <t>2.1.7.10.4.1</t>
  </si>
  <si>
    <t>HRC Prototype Module Design &amp; Testing</t>
  </si>
  <si>
    <t>2.1.7.10.4.2</t>
  </si>
  <si>
    <t>HRC Prototype Module M&amp;S</t>
  </si>
  <si>
    <t>2.1.7.10.5</t>
  </si>
  <si>
    <t>HRC 2nd Prototype Module (9U VME)</t>
  </si>
  <si>
    <t>2.1.7.10.5.1</t>
  </si>
  <si>
    <t>2.1.7.10.5.2</t>
  </si>
  <si>
    <t>2.1.7.10.6</t>
  </si>
  <si>
    <t>HRC Module Production</t>
  </si>
  <si>
    <t>2.1.7.10.6.1</t>
  </si>
  <si>
    <t>2.1.7.10.6.2</t>
  </si>
  <si>
    <t>HRC Production Module Engineering Support</t>
  </si>
  <si>
    <t>2.1.7.10.6.3</t>
  </si>
  <si>
    <t>Ship HRC Production Module to CERN</t>
  </si>
  <si>
    <t>2.1.7.10.6.4</t>
  </si>
  <si>
    <t>2.1.7.11</t>
  </si>
  <si>
    <t>Tester Stations</t>
  </si>
  <si>
    <t>2.1.7.11.1</t>
  </si>
  <si>
    <t>Universal Tester Module</t>
  </si>
  <si>
    <t>2.1.7.11.1.1</t>
  </si>
  <si>
    <t>Universal Tester Module Design &amp; Testing</t>
  </si>
  <si>
    <t>2.1.7.11.1.2</t>
  </si>
  <si>
    <t>Universal Tester Module M&amp;S</t>
  </si>
  <si>
    <t>2.1.7.11.1.5</t>
  </si>
  <si>
    <t>TTC and LHC Emulator Setup</t>
  </si>
  <si>
    <t>2.1.7.11.2</t>
  </si>
  <si>
    <t>Front-End Electronic (FEE) Emulator</t>
  </si>
  <si>
    <t>2.1.7.11.2.1</t>
  </si>
  <si>
    <t>FEE Emulator Design &amp; Testing</t>
  </si>
  <si>
    <t>2.1.7.11.2.2</t>
  </si>
  <si>
    <t>FEE Emulator M&amp;S</t>
  </si>
  <si>
    <t>FEE Emulator</t>
  </si>
  <si>
    <t>FEE Emulator Evaluation</t>
  </si>
  <si>
    <t>2.1.7.11.3</t>
  </si>
  <si>
    <t>DCC Module Test Equipment</t>
  </si>
  <si>
    <t>2.1.7.11.3.1</t>
  </si>
  <si>
    <t>2.1.7.11.3.2</t>
  </si>
  <si>
    <t>DCC Module Software Development</t>
  </si>
  <si>
    <t>2.1.7.11.4</t>
  </si>
  <si>
    <t>HRC Demo Tester</t>
  </si>
  <si>
    <t>2.1.7.11.4.1</t>
  </si>
  <si>
    <t>HRC Demo Tester Design &amp; Testing</t>
  </si>
  <si>
    <t>2.1.7.11.4.2</t>
  </si>
  <si>
    <t>HRC Demo Tester M&amp;S</t>
  </si>
  <si>
    <t>2.1.7.11.4.3</t>
  </si>
  <si>
    <t>2.1.7.11.4.4</t>
  </si>
  <si>
    <t>2.1.7.12</t>
  </si>
  <si>
    <t>System Integration/Milestones</t>
  </si>
  <si>
    <t>2.1.7.12.1</t>
  </si>
  <si>
    <t>Demontrator Integration Tests (Maryland)</t>
  </si>
  <si>
    <t>2.1.7.12.2</t>
  </si>
  <si>
    <t>Demontrator Integration Tests (Boston)</t>
  </si>
  <si>
    <t>2.1.7.12.3</t>
  </si>
  <si>
    <t>Demontrator Integration Tests (UIC)</t>
  </si>
  <si>
    <t>2.1.7.12.4</t>
  </si>
  <si>
    <t>Prototype Integration Tests (Maryland)</t>
  </si>
  <si>
    <t>2.1.7.12.5</t>
  </si>
  <si>
    <t>Prototype Integration Tests (Boston)</t>
  </si>
  <si>
    <t>2.1.7.12.6</t>
  </si>
  <si>
    <t>Prototype Integration Tests (UIC)</t>
  </si>
  <si>
    <t>2.1.7.12.7</t>
  </si>
  <si>
    <t>Installation at CERN (Maryland)</t>
  </si>
  <si>
    <t>2.1.7.12.8</t>
  </si>
  <si>
    <t>Installation at CERN (Boston)</t>
  </si>
  <si>
    <t>postdoc-Boston-TBN</t>
  </si>
  <si>
    <t>2.1.7.12.9</t>
  </si>
  <si>
    <t>Installation at CERN (UIC)</t>
  </si>
  <si>
    <t>HCAL-HB-M43</t>
  </si>
  <si>
    <t>Start Fully-Functional Prototype Design</t>
  </si>
  <si>
    <t>HCAL-HB-M44</t>
  </si>
  <si>
    <t>Start 2nd Submission of Fully-Functional Prototype Design</t>
  </si>
  <si>
    <t>HCAL-HB-M45</t>
  </si>
  <si>
    <t>Start Full Production of T/DAQ Readout Cards (24 Crates)</t>
  </si>
  <si>
    <t>HCAL-HB-M46</t>
  </si>
  <si>
    <t>Trigger/DAQ Production (HB,HO, HE, &amp; HF) Complete</t>
  </si>
  <si>
    <t>HCAL-HB-M47</t>
  </si>
  <si>
    <t>Trigger/DAQ Installation (HB,HO, HE, &amp; HF) Complete</t>
  </si>
  <si>
    <t>Apr-Aug 02</t>
  </si>
  <si>
    <t xml:space="preserve">2.1.5.14.2 - </t>
  </si>
  <si>
    <t>From CPR</t>
  </si>
  <si>
    <t>Remains</t>
  </si>
  <si>
    <t>2.1.7.13</t>
  </si>
  <si>
    <t>Trigger/DAQ Coordination</t>
  </si>
  <si>
    <t>2.1.7.13.1</t>
  </si>
  <si>
    <t>Trigger/DAQ HCAL DAQ/Trigger  Integration (Maryland)</t>
  </si>
  <si>
    <t>2.1.7.13.2</t>
  </si>
  <si>
    <t>Trigger/DAQ Project Engineering (Boston)</t>
  </si>
  <si>
    <t>2.1.7.13.3</t>
  </si>
  <si>
    <t>Trigger/DAQ Project Engineering (Maryland)</t>
  </si>
  <si>
    <t>2.1.7.13.4</t>
  </si>
  <si>
    <t>Trigger/DAQ Project Engineering (UIC)</t>
  </si>
  <si>
    <t>2.1.7.13.5</t>
  </si>
  <si>
    <t>Trigger/DAQ Shipping Costs (Boston)</t>
  </si>
  <si>
    <t>2.1.7.13.6</t>
  </si>
  <si>
    <t>Trigger/DAQ Shipping Costs (Maryland)</t>
  </si>
  <si>
    <t>2.1.7.13.7</t>
  </si>
  <si>
    <t>Trigger/DAQ Shipping Costs (UIC)</t>
  </si>
  <si>
    <t>2.1.7.13.8</t>
  </si>
  <si>
    <t>Trigger/DAQ Electronics Evaluation &amp; Testing</t>
  </si>
  <si>
    <t>2.1.7.13.9</t>
  </si>
  <si>
    <t>Level II Trigger Simulation and Algorithm Development</t>
  </si>
  <si>
    <t>postdoc-maryland-S. Kunori</t>
  </si>
  <si>
    <t>physicist-maryland-S. Eno</t>
  </si>
  <si>
    <t>2.1.7.13.10</t>
  </si>
  <si>
    <t>2.1.7.14</t>
  </si>
  <si>
    <t>HCAL DAQ Concentrator (HDC)  Module</t>
  </si>
  <si>
    <t>2.1.7.14.1</t>
  </si>
  <si>
    <t>HDC Prototype Module (9U VME)</t>
  </si>
  <si>
    <t>2.1.7.14.1.1</t>
  </si>
  <si>
    <t>HDC Prototype Module Design &amp; Testing</t>
  </si>
  <si>
    <t>2.1.7.14.1.2</t>
  </si>
  <si>
    <t>HDC Prototype Module M&amp;S</t>
  </si>
  <si>
    <t>2.1.7.14.2</t>
  </si>
  <si>
    <t>HDC 2nd Prototype Module (9U VME)</t>
  </si>
  <si>
    <t>2.1.7.14.2.1</t>
  </si>
  <si>
    <t>2.1.7.14.2.2</t>
  </si>
  <si>
    <t>2.1.7.14.3</t>
  </si>
  <si>
    <t>HDC Module Production</t>
  </si>
  <si>
    <t>2.1.7.14.3.1</t>
  </si>
  <si>
    <t>HDC Modules</t>
  </si>
  <si>
    <t>2.1.7.14.3.2</t>
  </si>
  <si>
    <t>HDC Production Module Engineering Support</t>
  </si>
  <si>
    <t>2.1.7.14.3.3</t>
  </si>
  <si>
    <t>Ship HDC Production Module to CERN</t>
  </si>
  <si>
    <t>2.1.7.14.3.4</t>
  </si>
  <si>
    <t>WBS</t>
  </si>
  <si>
    <t>Name</t>
  </si>
  <si>
    <t>Cost</t>
  </si>
  <si>
    <t>2</t>
  </si>
  <si>
    <t>Hadron Calorimeter (HCAL)</t>
  </si>
  <si>
    <t>2.1</t>
  </si>
  <si>
    <t>Barrel Hadron Calorimeter (HB)</t>
  </si>
  <si>
    <t>postdoc-maryland-Archana Sharma</t>
  </si>
  <si>
    <t>technician - maryland - FY00</t>
  </si>
  <si>
    <t>engineer - fermilab-FY97</t>
  </si>
  <si>
    <t>technician2 - uic - FY97</t>
  </si>
  <si>
    <t>technician2 - uic - FY00</t>
  </si>
  <si>
    <t>post doc-illinois-Rob Martin</t>
  </si>
  <si>
    <t>technician - fermilab - FY97</t>
  </si>
  <si>
    <t>Milestones</t>
  </si>
  <si>
    <t>Forward Hadron Calorimeter (HF)</t>
  </si>
  <si>
    <t>2.1.7.1.1.1</t>
  </si>
  <si>
    <t>Xilinx Virtex 3000</t>
  </si>
  <si>
    <t>Xilinx Virtex 2000</t>
  </si>
  <si>
    <t>Boards</t>
  </si>
  <si>
    <t>Extras</t>
  </si>
  <si>
    <t>2.1.7.1.1.2</t>
  </si>
  <si>
    <t>2.1.7.1.1.3</t>
  </si>
  <si>
    <t>2.1.7.1.1.3.1</t>
  </si>
  <si>
    <t>2.1.7.1.1.3.2</t>
  </si>
  <si>
    <t>2.1.7.1.1.4</t>
  </si>
  <si>
    <t>2.1.7.1.1.4.1</t>
  </si>
  <si>
    <t>2.1.7.1.1.4.2</t>
  </si>
  <si>
    <t>2.1.7.1.1.5</t>
  </si>
  <si>
    <t>2.1.7.1.1.5.1</t>
  </si>
  <si>
    <t>2.1.7.1.1.5.2</t>
  </si>
  <si>
    <t>2.1.7.1.1.6</t>
  </si>
  <si>
    <t>2.1.7.1.1.6.1</t>
  </si>
  <si>
    <t>2.1.7.1.1.6.2</t>
  </si>
  <si>
    <t>2.1.7.1.1.6.3</t>
  </si>
  <si>
    <t>2.1.7.1.1.6.4</t>
  </si>
  <si>
    <t>Layout</t>
  </si>
  <si>
    <t>Duration (d)</t>
  </si>
  <si>
    <t>Start Date</t>
  </si>
  <si>
    <t>Finish Date</t>
  </si>
  <si>
    <t>Work (d)</t>
  </si>
  <si>
    <t>Design</t>
  </si>
  <si>
    <t>Evaluation</t>
  </si>
  <si>
    <t>Parts Evaluation</t>
  </si>
  <si>
    <t>Testing</t>
  </si>
  <si>
    <t>Number</t>
  </si>
  <si>
    <t>Item Cost</t>
  </si>
  <si>
    <t>UMD (3), UIC (1), BU (1)</t>
  </si>
  <si>
    <t>Biweekly pay period</t>
  </si>
  <si>
    <t>Amount for FY 2003 + rest of 2003</t>
  </si>
  <si>
    <t>Rob Bard</t>
  </si>
  <si>
    <t>Average yearly based on first 9 months of 2002</t>
  </si>
  <si>
    <t>"SHOP"</t>
  </si>
  <si>
    <t>Maryland engineering</t>
  </si>
  <si>
    <t>Amount</t>
  </si>
  <si>
    <t>FY03 Budget</t>
  </si>
  <si>
    <t>Needed</t>
  </si>
  <si>
    <t>Engineering Monies Remaining</t>
  </si>
  <si>
    <t>Complete</t>
  </si>
  <si>
    <t>Parts (dominated by large FPGA)</t>
  </si>
  <si>
    <t>Fab and Assembly (small quantity)</t>
  </si>
  <si>
    <t xml:space="preserve"> </t>
  </si>
  <si>
    <t>1 board, maybe 6U or handheld</t>
  </si>
  <si>
    <t>Parts (all I/O plus FPGA for control and VME)</t>
  </si>
  <si>
    <t>Connectors</t>
  </si>
  <si>
    <t>FPGA</t>
  </si>
  <si>
    <t>FIFOs</t>
  </si>
  <si>
    <t>PC board</t>
  </si>
  <si>
    <t>Fab and Assembly (small quantity) and Testing</t>
  </si>
  <si>
    <t>Misc</t>
  </si>
  <si>
    <t>$150 each for 4 SC optical connectors plus chips</t>
  </si>
  <si>
    <t>Total</t>
  </si>
  <si>
    <t>TTC-VI (VME interface module)</t>
  </si>
  <si>
    <t>TTC-VX (electro-optical converter)</t>
  </si>
  <si>
    <t>TTC-RX</t>
  </si>
  <si>
    <t>6U VME crate w/750W power supply</t>
  </si>
  <si>
    <t>LHC emulator</t>
  </si>
  <si>
    <t>PC</t>
  </si>
  <si>
    <t>Swiss Franc exchange rate</t>
  </si>
  <si>
    <t>FPGA programming</t>
  </si>
  <si>
    <t>Technican daily rate</t>
  </si>
  <si>
    <t>Engineer Boston</t>
  </si>
  <si>
    <t>Engineer3 Maryland</t>
  </si>
  <si>
    <t>Engineer UIC</t>
  </si>
  <si>
    <t>Parts</t>
  </si>
  <si>
    <t>Engineer FNAL</t>
  </si>
  <si>
    <t>Labor rates</t>
  </si>
  <si>
    <t>Parameters</t>
  </si>
  <si>
    <t>Support for prototype</t>
  </si>
  <si>
    <t>Support for integration</t>
  </si>
  <si>
    <t>Update design</t>
  </si>
  <si>
    <t>Update layout</t>
  </si>
  <si>
    <t>Checkout and rework</t>
  </si>
  <si>
    <t>Run checkout assembly line</t>
  </si>
  <si>
    <t>technician - maryland</t>
  </si>
  <si>
    <t>FPGA (4 per card</t>
  </si>
  <si>
    <t>PC Board</t>
  </si>
  <si>
    <t>Fab &amp; Assy</t>
  </si>
  <si>
    <t>Rx chips (16 @ $30 + Vitesse + LVDS)</t>
  </si>
  <si>
    <t>Misc (FIFOs, MUX, VME, etc)</t>
  </si>
  <si>
    <t>Removed from WBS?</t>
  </si>
  <si>
    <t>Specification (interlocking, current, voltages, etc.)</t>
  </si>
  <si>
    <t>support</t>
  </si>
  <si>
    <t>9U VIPA crate with J1, J2, and power</t>
  </si>
  <si>
    <t>Rack, monitoring, cooling, etc.</t>
  </si>
  <si>
    <t>Specs and verification on cabling scheme</t>
  </si>
  <si>
    <t>Support for cable making</t>
  </si>
  <si>
    <t>Belden 9182 PVC (cost per 1000 ft)</t>
  </si>
  <si>
    <t>D-sub metal backshells</t>
  </si>
  <si>
    <t xml:space="preserve">Connector </t>
  </si>
  <si>
    <t>Total cost per connector:</t>
  </si>
  <si>
    <t>Cost for 20m cable</t>
  </si>
  <si>
    <t>Total cost per cable quad cable with connector</t>
  </si>
  <si>
    <t>Number of L1 trigger channels</t>
  </si>
  <si>
    <t>Number of cables (2 channels per cable, 5% spares)</t>
  </si>
  <si>
    <t>Overall integration at engineering level, 5/00 to 12/04</t>
  </si>
  <si>
    <t>VME motherboard</t>
  </si>
  <si>
    <t>Detailed spec</t>
  </si>
  <si>
    <t>Logic design</t>
  </si>
  <si>
    <t>Layout notes/supervision</t>
  </si>
  <si>
    <t>PMC Logic Board</t>
  </si>
  <si>
    <t>Integrate DCC, HTR, HRC, TTC, etc.</t>
  </si>
  <si>
    <t>engineer - boston</t>
  </si>
  <si>
    <t>Mostly FPGA coding, VME interface, DAQ, etc</t>
  </si>
  <si>
    <t>6U VME crate and TTC setup (see above)</t>
  </si>
  <si>
    <t>PCB Layout</t>
  </si>
  <si>
    <t>Technical Support</t>
  </si>
  <si>
    <t>Demonstrator boards</t>
  </si>
  <si>
    <t>Motherboard</t>
  </si>
  <si>
    <t>PC-MIPS card</t>
  </si>
  <si>
    <t>Fab and Assembly</t>
  </si>
  <si>
    <t>Expansion of PC-MIPS to full capacity</t>
  </si>
  <si>
    <t>DAQ/Trig path</t>
  </si>
  <si>
    <t>Design verification</t>
  </si>
  <si>
    <t>same M&amp;S as for Demonstrator</t>
  </si>
  <si>
    <t>Use HTR and DCC production modules</t>
  </si>
  <si>
    <t>Obsolete WBS item</t>
  </si>
  <si>
    <t>Testing at CERN</t>
  </si>
  <si>
    <t>Checkout</t>
  </si>
  <si>
    <t>Removed from WBS</t>
  </si>
  <si>
    <t>PC-MIPS cards (6 per board)</t>
  </si>
  <si>
    <t>TTC Fanout</t>
  </si>
  <si>
    <t>Detailed Spec and Logic Design</t>
  </si>
  <si>
    <t>In-crate DAQ</t>
  </si>
  <si>
    <t>Detailed Spec</t>
  </si>
  <si>
    <t>Software</t>
  </si>
  <si>
    <t>Testing/Debugging</t>
  </si>
  <si>
    <t xml:space="preserve">TTC fanout </t>
  </si>
  <si>
    <t>TTC Fanout board</t>
  </si>
  <si>
    <t>PC Board and electrical test</t>
  </si>
  <si>
    <t>CPU board</t>
  </si>
  <si>
    <t>VxWorks licence for UIC</t>
  </si>
  <si>
    <t>9U Main HRC board</t>
  </si>
  <si>
    <t>TTC fanout circuit design</t>
  </si>
  <si>
    <t>Motherboard design</t>
  </si>
  <si>
    <t>FMU PMC card</t>
  </si>
  <si>
    <t>I/O and logic design</t>
  </si>
  <si>
    <t>Support</t>
  </si>
  <si>
    <t>technician2 - uic</t>
  </si>
  <si>
    <t xml:space="preserve">  </t>
  </si>
  <si>
    <t xml:space="preserve">Checkout  </t>
  </si>
  <si>
    <t xml:space="preserve">technician2 - uic </t>
  </si>
  <si>
    <t>integrage using HTR production modules</t>
  </si>
  <si>
    <t>6U, majority logic plus I/O, small quantity produced</t>
  </si>
  <si>
    <t>HDC Production Module M&amp;S (0 Spares)</t>
  </si>
  <si>
    <t>Design and checkout</t>
  </si>
  <si>
    <t>checkout</t>
  </si>
  <si>
    <t>HTR Production Module</t>
  </si>
  <si>
    <t>DCC Production Module</t>
  </si>
  <si>
    <t>HRC Production Module</t>
  </si>
  <si>
    <t>Level 1 Trigger Links M&amp;S (5% Spares)</t>
  </si>
  <si>
    <t>VME Crate</t>
  </si>
  <si>
    <t>VME Rack</t>
  </si>
  <si>
    <t>VME Racks</t>
  </si>
  <si>
    <t>Level 1 Link M&amp;S (5% Spares)</t>
  </si>
  <si>
    <t>Level 1 Trigger Links (4 per cable)</t>
  </si>
  <si>
    <t>UMD</t>
  </si>
  <si>
    <t>BU</t>
  </si>
  <si>
    <t>UIC</t>
  </si>
  <si>
    <t>DaSilva consulting July 2000</t>
  </si>
  <si>
    <t>Bard</t>
  </si>
  <si>
    <t>Baum</t>
  </si>
  <si>
    <t>Schaffer</t>
  </si>
  <si>
    <t>Sharp</t>
  </si>
  <si>
    <t>Vitesse</t>
  </si>
  <si>
    <t>DAWN VME</t>
  </si>
  <si>
    <t>Shipping</t>
  </si>
  <si>
    <t>Date</t>
  </si>
  <si>
    <t>Black Box Cabling</t>
  </si>
  <si>
    <t>Marshall Industries</t>
  </si>
  <si>
    <t>PC Cost</t>
  </si>
  <si>
    <t>PC Connection</t>
  </si>
  <si>
    <t>TOTAL</t>
  </si>
  <si>
    <t>Materials</t>
  </si>
  <si>
    <t>Labor</t>
  </si>
  <si>
    <t>Type</t>
  </si>
  <si>
    <t>Who</t>
  </si>
  <si>
    <t>Giganti</t>
  </si>
  <si>
    <t>Advanced Circuits</t>
  </si>
  <si>
    <t>Integral</t>
  </si>
  <si>
    <t>Touart</t>
  </si>
  <si>
    <t>Travel</t>
  </si>
  <si>
    <t>Subtotal</t>
  </si>
  <si>
    <t>Overhead rate</t>
  </si>
  <si>
    <t>2.1.1.8.6.9</t>
  </si>
  <si>
    <t>COMPUSA</t>
  </si>
  <si>
    <t>Baden</t>
  </si>
  <si>
    <t>Breden</t>
  </si>
  <si>
    <t>DKC</t>
  </si>
  <si>
    <t>misc</t>
  </si>
  <si>
    <t>DKS</t>
  </si>
  <si>
    <t>01-433204</t>
  </si>
  <si>
    <t>Kleber</t>
  </si>
  <si>
    <t>software</t>
  </si>
  <si>
    <t>McQueen</t>
  </si>
  <si>
    <t>leds</t>
  </si>
  <si>
    <t>Grassi</t>
  </si>
  <si>
    <t>allied</t>
  </si>
  <si>
    <t>Z</t>
  </si>
  <si>
    <t>20k400</t>
  </si>
  <si>
    <t>Hans</t>
  </si>
  <si>
    <t>????</t>
  </si>
  <si>
    <t>Black Box</t>
  </si>
  <si>
    <t>Freight</t>
  </si>
  <si>
    <t>VME stuff</t>
  </si>
  <si>
    <t>methode optical stuff</t>
  </si>
  <si>
    <t>Period</t>
  </si>
  <si>
    <t>10/1/2000-10/31/2000</t>
  </si>
  <si>
    <t>Contract</t>
  </si>
  <si>
    <t>UMD Amount</t>
  </si>
  <si>
    <t>Equipment</t>
  </si>
  <si>
    <t>Tullio 12/28 1/11 1/25</t>
  </si>
  <si>
    <t>Ardash 12/28 1/11 1/25</t>
  </si>
  <si>
    <t>OMEGA 1/14</t>
  </si>
  <si>
    <t>United 1/14 Megonigal</t>
  </si>
  <si>
    <t>Drew Laptop (see Nov 02)</t>
  </si>
  <si>
    <t>Scope Probe (see Sep 02)</t>
  </si>
  <si>
    <t>credit from Nov 02</t>
  </si>
  <si>
    <t>credit from Sep 02</t>
  </si>
  <si>
    <t>4361 Sens Equip Comp Ac/R</t>
  </si>
  <si>
    <t>Megonigal Scope Probe (see Sep 02)</t>
  </si>
  <si>
    <t>Sony PC Drew (Laptop, see Nov 02)</t>
  </si>
  <si>
    <t>disk drive for lab computer</t>
  </si>
  <si>
    <t>credit from MWAVE</t>
  </si>
  <si>
    <t>EDG built computer</t>
  </si>
  <si>
    <t>VME connectors</t>
  </si>
  <si>
    <t>TTC Boards (Linsang)</t>
  </si>
  <si>
    <t>Total Direct Cost</t>
  </si>
  <si>
    <t>Indirect Cost</t>
  </si>
  <si>
    <t>Total Cost</t>
  </si>
  <si>
    <t>Less Payments Previously Requested</t>
  </si>
  <si>
    <t>Please Remit This Amount</t>
  </si>
  <si>
    <t>Tullio 10/7</t>
  </si>
  <si>
    <t>Tullio 10/21</t>
  </si>
  <si>
    <t>Tullio TIAA 10/7</t>
  </si>
  <si>
    <t>Tullio TIAA 10/21</t>
  </si>
  <si>
    <t>Tullio Retiree Health Ins 10/7</t>
  </si>
  <si>
    <t>Tullio Retiree Health Ins 10/21</t>
  </si>
  <si>
    <t>Tullio+Honbo Health Ins 10/7</t>
  </si>
  <si>
    <t>Tullio+Honbo Health Ins 10/21</t>
  </si>
  <si>
    <t>parts for FEE</t>
  </si>
  <si>
    <t>ALDEC licenses</t>
  </si>
  <si>
    <t>Tullio to CERN 10/2000</t>
  </si>
  <si>
    <t>2.1.1.5.1.5</t>
  </si>
  <si>
    <t>CPU 5/11/00 6000CHF</t>
  </si>
  <si>
    <t>Monitor 5/11/00 5970 CHF</t>
  </si>
  <si>
    <t>Hostel (Baden) 5/22/00  CERN</t>
  </si>
  <si>
    <t>4000 CHF DaSilva</t>
  </si>
  <si>
    <t>8000 CHF DaSilva</t>
  </si>
  <si>
    <t xml:space="preserve">BAC </t>
  </si>
  <si>
    <t>LHC Module + TTCrx test board</t>
  </si>
  <si>
    <t>Hongbo 10/7</t>
  </si>
  <si>
    <t>Hongbo 10/21</t>
  </si>
  <si>
    <t>SUBTOTAL (for overhead)</t>
  </si>
  <si>
    <t>9/1/2000-9/30/2000</t>
  </si>
  <si>
    <t>Tullio 9/9</t>
  </si>
  <si>
    <t>Tullio 9/23</t>
  </si>
  <si>
    <t>Hongbo 9/9</t>
  </si>
  <si>
    <t>Hongbo 9/23</t>
  </si>
  <si>
    <t>Tullio TIAA 9/9</t>
  </si>
  <si>
    <t>Tullio+Honbo Health Ins 9/9</t>
  </si>
  <si>
    <t>Tullio Retiree Health Ins 9/9</t>
  </si>
  <si>
    <t>Skuja 9/9</t>
  </si>
  <si>
    <t>Skuja 9/23</t>
  </si>
  <si>
    <t>9715 8/26/00 ENG</t>
  </si>
  <si>
    <t>9725 8/26/00 ENG</t>
  </si>
  <si>
    <t>9725 9/7/2000  Creative Electronics</t>
  </si>
  <si>
    <t>9725 9/12-9/22/00 FPGA etc for HTR demo</t>
  </si>
  <si>
    <t>4/1/2000-4/30/2000</t>
  </si>
  <si>
    <t>Skuja 4/8</t>
  </si>
  <si>
    <t>Skuja 4/22</t>
  </si>
  <si>
    <t>Hongbo 5/6</t>
  </si>
  <si>
    <t>Hongbo 5/20</t>
  </si>
  <si>
    <t>Skuja 5/6</t>
  </si>
  <si>
    <t>Skuja 5/5</t>
  </si>
  <si>
    <t>Baden Amazon.com</t>
  </si>
  <si>
    <t>Baden Synplicity</t>
  </si>
  <si>
    <t>Baden ????</t>
  </si>
  <si>
    <t>PAID</t>
  </si>
  <si>
    <t>May-Aug 00</t>
  </si>
  <si>
    <t>9715 Touart Vitesse</t>
  </si>
  <si>
    <t>9715 Labor 4/8/00</t>
  </si>
  <si>
    <t>9715 Labor 4/22/00</t>
  </si>
  <si>
    <t>9715 Baum DAWN VME 5/5/00</t>
  </si>
  <si>
    <t>9715    "  shipping</t>
  </si>
  <si>
    <t>9725 Labor 4/8/00</t>
  </si>
  <si>
    <t>9725 Labor 4/22/00</t>
  </si>
  <si>
    <t>5/1/2000-5/31/2000</t>
  </si>
  <si>
    <t>6/1/2000-6/32/2000</t>
  </si>
  <si>
    <t>Hongbo 6/3</t>
  </si>
  <si>
    <t>Hongbo 6/17</t>
  </si>
  <si>
    <t>Hongbo 6/30</t>
  </si>
  <si>
    <t>Tullio ???</t>
  </si>
  <si>
    <t>Tullio 6/30</t>
  </si>
  <si>
    <t>TRAVELON</t>
  </si>
  <si>
    <t>Skuja 6/2</t>
  </si>
  <si>
    <t>Baden 6/3</t>
  </si>
  <si>
    <t>Skuja 6/3</t>
  </si>
  <si>
    <t>Skuja 6/19</t>
  </si>
  <si>
    <t>Skuja 6/19 credit?</t>
  </si>
  <si>
    <t>Baden Sony notebook (replacement)</t>
  </si>
  <si>
    <t>memory for above</t>
  </si>
  <si>
    <t>DELL ????</t>
  </si>
  <si>
    <t>9715 Touart DKY</t>
  </si>
  <si>
    <t>9725 Touart misc for universal tester</t>
  </si>
  <si>
    <t>7/1/2000-7/31/2000</t>
  </si>
  <si>
    <t>Correction for 6/17 Tullio</t>
  </si>
  <si>
    <t>Tullio 7/1/00</t>
  </si>
  <si>
    <t>Tullio 7/15/00</t>
  </si>
  <si>
    <t>Hongbo 7/1/00</t>
  </si>
  <si>
    <t>Hongbo 7/15/00</t>
  </si>
  <si>
    <t>Correction for 6/17 Tullio TIAA?</t>
  </si>
  <si>
    <t>1012 Faculty 12 Months</t>
  </si>
  <si>
    <t>1020 Graduate Assistants</t>
  </si>
  <si>
    <t>2710+2711+2725 Benefits</t>
  </si>
  <si>
    <t>"</t>
  </si>
  <si>
    <t>4061 Supplies non-overhead</t>
  </si>
  <si>
    <t>3321 Travel - Domestic</t>
  </si>
  <si>
    <t>3360 Travel - Foreign</t>
  </si>
  <si>
    <t>9725 McQueen software</t>
  </si>
  <si>
    <t>Correction for 6/17 Hongbo</t>
  </si>
  <si>
    <t>9998 Indirect Cost</t>
  </si>
  <si>
    <t>4348 Equipment</t>
  </si>
  <si>
    <t>Total Direct+Indirect</t>
  </si>
  <si>
    <t>8/1/2000-8/31/2000</t>
  </si>
  <si>
    <t>Tullio 7/29/00</t>
  </si>
  <si>
    <t>Tullio 8/12/00</t>
  </si>
  <si>
    <t>Tullio 8/26/00</t>
  </si>
  <si>
    <t>7/29  Hongbo</t>
  </si>
  <si>
    <t>8/12  Hongbo</t>
  </si>
  <si>
    <t>8/26  Hongbo</t>
  </si>
  <si>
    <t>Skuja 7/29</t>
  </si>
  <si>
    <t>3728 Freight &amp; Delivery</t>
  </si>
  <si>
    <t>8/2 UPS</t>
  </si>
  <si>
    <t>9715 7/29/00 ENG</t>
  </si>
  <si>
    <t>9725 7/29/00 ENG</t>
  </si>
  <si>
    <t>CPR 8/02</t>
  </si>
  <si>
    <t>2.5.6.6</t>
  </si>
  <si>
    <t>HF Source Routing System #3</t>
  </si>
  <si>
    <t>2.5.6.6.1</t>
  </si>
  <si>
    <t>HF Source Driver #3</t>
  </si>
  <si>
    <t>2.5.6.6.2</t>
  </si>
  <si>
    <t>HF Source Driver #3 Hardware</t>
  </si>
  <si>
    <t>2.5.6.7</t>
  </si>
  <si>
    <t>HF Source Routing System #4</t>
  </si>
  <si>
    <t>2.5.6.7.1</t>
  </si>
  <si>
    <t>HF Source Driver #4</t>
  </si>
  <si>
    <t>2.5.6.7.2</t>
  </si>
  <si>
    <t>HF Source Driver #4 Hardware</t>
  </si>
  <si>
    <t>2.5.7.2</t>
  </si>
  <si>
    <t>Snow/Nebraska</t>
  </si>
  <si>
    <t>2.5.11.1</t>
  </si>
  <si>
    <t>Rate Monitor Electronics</t>
  </si>
  <si>
    <t>2.5.11.1.1</t>
  </si>
  <si>
    <t>Electronics Design</t>
  </si>
  <si>
    <t>2.5.11.1.2</t>
  </si>
  <si>
    <t>Electronics Installation and Testing (Phase 1)</t>
  </si>
  <si>
    <t>2.5.11.1.3</t>
  </si>
  <si>
    <t>EPICS IOC Luminosity</t>
  </si>
  <si>
    <t>2.5.11.1.4</t>
  </si>
  <si>
    <t>EPICS Data Handling Boards</t>
  </si>
  <si>
    <t>2.5.11.1.5</t>
  </si>
  <si>
    <t>VME Electronics</t>
  </si>
  <si>
    <t>2.5.11.1.6</t>
  </si>
  <si>
    <t>2.5.11.1.7</t>
  </si>
  <si>
    <t>Electronics Installation and Testing (Phase 2)</t>
  </si>
  <si>
    <t>2.5.11.1.8</t>
  </si>
  <si>
    <t>Installation at CERN</t>
  </si>
  <si>
    <t>For month ending: 8/02</t>
  </si>
  <si>
    <t>2.1.10.11</t>
  </si>
  <si>
    <t>2002 test beam</t>
  </si>
  <si>
    <t>2.1.10.11.1</t>
  </si>
  <si>
    <t>travel - FNAL</t>
  </si>
  <si>
    <t>2.1.10.11.2</t>
  </si>
  <si>
    <t>installation</t>
  </si>
  <si>
    <t>2.1.10.11.3</t>
  </si>
  <si>
    <t>Test Beam RBX/Electronics M&amp;S</t>
  </si>
  <si>
    <t>2.1.10.11.4</t>
  </si>
  <si>
    <t>travel - Princeton</t>
  </si>
  <si>
    <t>2.1.11.1</t>
  </si>
  <si>
    <t>Maintenance Engineers</t>
  </si>
  <si>
    <t>Mondal/TATA</t>
  </si>
  <si>
    <t>Extra</t>
  </si>
  <si>
    <t>2.2.7.2</t>
  </si>
  <si>
    <t>2.2.7.6</t>
  </si>
  <si>
    <t>Data Link (deleted WBS)</t>
  </si>
  <si>
    <t>2.2.7.7.3</t>
  </si>
  <si>
    <t>Ship PCI Receiver Modules to CERN</t>
  </si>
  <si>
    <t>Golutvin/RDMS</t>
  </si>
  <si>
    <t>2.3.6.3.1</t>
  </si>
  <si>
    <t>2.3.6.3.2</t>
  </si>
  <si>
    <t>2.3.6.3.3</t>
  </si>
  <si>
    <t>2.3.6.3.4</t>
  </si>
  <si>
    <t>Ship Source Drivers to CERN</t>
  </si>
  <si>
    <t>2.3.7.2</t>
  </si>
  <si>
    <t>2.3.7.4.4</t>
  </si>
  <si>
    <t>Ship  VME Crates to CERN</t>
  </si>
  <si>
    <t>Increase M&amp;S</t>
  </si>
  <si>
    <t>ENG</t>
  </si>
  <si>
    <t>Level 1 Link M&amp;S (10% Spares)</t>
  </si>
  <si>
    <t>2.3.7.8</t>
  </si>
  <si>
    <t>Akchurin/Texas Tech</t>
  </si>
  <si>
    <t>Texas Tech</t>
  </si>
  <si>
    <t>9725 7/1/00 ENG</t>
  </si>
  <si>
    <t>9725 7/15/00 ENG</t>
  </si>
  <si>
    <t xml:space="preserve">1012 Faculty/Staff </t>
  </si>
  <si>
    <t>3952 Other Supplies</t>
  </si>
  <si>
    <t>3734 Subcontracts&gt;$25k</t>
  </si>
  <si>
    <t>4348 Construction Equipment</t>
  </si>
  <si>
    <t>9715 1/15/00 ENG</t>
  </si>
  <si>
    <t>9715 1/29/00 ENG</t>
  </si>
  <si>
    <t>9725 1/15/00 ENG</t>
  </si>
  <si>
    <t>9725 1/29/00 ENG</t>
  </si>
  <si>
    <t>9715 Bard PC stuff</t>
  </si>
  <si>
    <t>1020 Graduate Assistant</t>
  </si>
  <si>
    <t>Hongbo ????</t>
  </si>
  <si>
    <t>Baden 2/26/00 reimbursement</t>
  </si>
  <si>
    <t>Skuja 2/26/00 reimbursement</t>
  </si>
  <si>
    <t>Kunori 3/11/00 reimbursement</t>
  </si>
  <si>
    <t>??? Delta 3/3/00</t>
  </si>
  <si>
    <t>3952 Other (M&amp;S)</t>
  </si>
  <si>
    <t>Baden 3/16/00 COMPUSA</t>
  </si>
  <si>
    <t>Baden 3/16/00 SONY VAIO</t>
  </si>
  <si>
    <t>Baden 3/16/00 VITA (VME books)</t>
  </si>
  <si>
    <t>Baden 3/16/00 SONY VAIO (see July 00)</t>
  </si>
  <si>
    <t>9998 Indirect Costs</t>
  </si>
  <si>
    <t>SUBTOTAL</t>
  </si>
  <si>
    <t>9715 2/12/00 ENG</t>
  </si>
  <si>
    <t>9715 2/26/00 ENG</t>
  </si>
  <si>
    <t>9725 2/12/00 ENG</t>
  </si>
  <si>
    <t>9725 2/26/00 ENG</t>
  </si>
  <si>
    <t>9715 2/28/2000  Creative Baum Marshall</t>
  </si>
  <si>
    <t xml:space="preserve">3922+4045 M&amp;S etc </t>
  </si>
  <si>
    <t xml:space="preserve">9715 3/14-4/07/00 </t>
  </si>
  <si>
    <t>9715 3/11/00 ENG</t>
  </si>
  <si>
    <t>9715 3/25/00 ENG</t>
  </si>
  <si>
    <t>9725 3/11/00 ENG</t>
  </si>
  <si>
    <t>9725 3/25/00 ENG</t>
  </si>
  <si>
    <t>9725 4/7/00 Touart Advancec Circuits</t>
  </si>
  <si>
    <t>3914+3922+3952+4045 M&amp;S</t>
  </si>
  <si>
    <t>2725 Social Security</t>
  </si>
  <si>
    <t>Tullio FICA</t>
  </si>
  <si>
    <t>4046 Equipment no overhead</t>
  </si>
  <si>
    <t xml:space="preserve">Correction from 3952 Mar-00 overhead charge </t>
  </si>
  <si>
    <t>Move 3952 Mar-00 to non-overhead equip</t>
  </si>
  <si>
    <t>3952 Supplies &amp; Materials</t>
  </si>
  <si>
    <t>9715 5/6/00 ENG</t>
  </si>
  <si>
    <t>9715 5/20/00 ENG</t>
  </si>
  <si>
    <t>9725 5/6/00 ENG</t>
  </si>
  <si>
    <t>9725 5/20/00 ENG</t>
  </si>
  <si>
    <t>9715 6/3/00 ENG</t>
  </si>
  <si>
    <t>9725 6/3/00 ENG</t>
  </si>
  <si>
    <t>TOTAL Check</t>
  </si>
  <si>
    <t>Difference</t>
  </si>
  <si>
    <t>Allocated</t>
  </si>
  <si>
    <t>Remaining</t>
  </si>
  <si>
    <t>11/1/2000-11/30/2000</t>
  </si>
  <si>
    <t>Tullio 11/4</t>
  </si>
  <si>
    <t>Tullio 11/18</t>
  </si>
  <si>
    <t>Hongbo 11/4</t>
  </si>
  <si>
    <t>Hongbo 11/18</t>
  </si>
  <si>
    <t>Tullio TIAA 11/4</t>
  </si>
  <si>
    <t>Tullio TIAA 11/18</t>
  </si>
  <si>
    <t>Tullio+Honbo Health Ins 11/4</t>
  </si>
  <si>
    <t>Tullio+Honbo Health Ins 11/18</t>
  </si>
  <si>
    <t>Tullio Retiree Health Ins 11/4</t>
  </si>
  <si>
    <t>Tullio Retiree Health Ins 11/8</t>
  </si>
  <si>
    <t>Baden 11/4 reimbursement</t>
  </si>
  <si>
    <t>Grassi 11/4 remibursement</t>
  </si>
  <si>
    <t>Skuja 11/4 reimbursement</t>
  </si>
  <si>
    <t>11/03 TRAVELON</t>
  </si>
  <si>
    <t>11/3 OMEGA</t>
  </si>
  <si>
    <t>12/1 OMEGA</t>
  </si>
  <si>
    <t>10/30 Southwest KUNORI</t>
  </si>
  <si>
    <t>11/21 Southwest SKUJA</t>
  </si>
  <si>
    <t>10/12 Soutwest BADEN</t>
  </si>
  <si>
    <t>10/12 Soutwest GRASSI</t>
  </si>
  <si>
    <t>10/12 Southwest SKUJA</t>
  </si>
  <si>
    <t>2.2.7.11.3</t>
  </si>
  <si>
    <t>HO Trigger Link Production (includes SLB)</t>
  </si>
  <si>
    <t>11/18 SKUJA reimbursement</t>
  </si>
  <si>
    <t>10/22 SKUJA Barcelona</t>
  </si>
  <si>
    <t>12/1 TCRD12</t>
  </si>
  <si>
    <t>dept surcharge</t>
  </si>
  <si>
    <t>9715 11/4 optical parts</t>
  </si>
  <si>
    <t>9715 surcharge for above</t>
  </si>
  <si>
    <t>9725 11/14 VME stuff</t>
  </si>
  <si>
    <t>9725 11/09 HTR stuff</t>
  </si>
  <si>
    <t>9725 6/17/00 ENG</t>
  </si>
  <si>
    <t>VME CPU computer</t>
  </si>
  <si>
    <t>2 FPGA etc for HTR</t>
  </si>
  <si>
    <t>Wyle</t>
  </si>
  <si>
    <t>Misc for HTR/FEE</t>
  </si>
  <si>
    <t>Limo connectors (50) etc</t>
  </si>
  <si>
    <t>Caps</t>
  </si>
  <si>
    <t>MDG</t>
  </si>
  <si>
    <t>Grassi/Breden</t>
  </si>
  <si>
    <t>Baum/Breden</t>
  </si>
  <si>
    <t>Tullio 12/2</t>
  </si>
  <si>
    <t>Tullio 12/16</t>
  </si>
  <si>
    <t>Tullio TIAA 12/2</t>
  </si>
  <si>
    <t>Tullio TIAA 12/16</t>
  </si>
  <si>
    <t>Tullio Health Ins 12/2</t>
  </si>
  <si>
    <t>Tullio Health Ins 12/16</t>
  </si>
  <si>
    <t>Tullio Retiree Health Ins 12/2</t>
  </si>
  <si>
    <t>Tullio Retiree Health Ins 12/16</t>
  </si>
  <si>
    <t>Skuja 12/2 reimbursement</t>
  </si>
  <si>
    <t>Skuja 12/16 remibursement</t>
  </si>
  <si>
    <t>9715 9/23/00 ENG</t>
  </si>
  <si>
    <t>9725 9/9/00 and 9/23/00 ENG</t>
  </si>
  <si>
    <t>9715 10/7/00 ENG</t>
  </si>
  <si>
    <t xml:space="preserve"> 9725 10/7/00 and 10/21/00 ENG</t>
  </si>
  <si>
    <t>9715 VME CPU</t>
  </si>
  <si>
    <t>9725 Misc WYLE</t>
  </si>
  <si>
    <t>2/1/2001-2/28/2000</t>
  </si>
  <si>
    <t>Tullio 2/10</t>
  </si>
  <si>
    <t>Tullio 2/24</t>
  </si>
  <si>
    <t>2705+2710+2711+2725 Benefits</t>
  </si>
  <si>
    <t>Tullio TIAA 2/10</t>
  </si>
  <si>
    <t>Tullio TIAA 2/24</t>
  </si>
  <si>
    <t>Tullio Health Ins 2/10</t>
  </si>
  <si>
    <t>Tullio Health Ins 2/24</t>
  </si>
  <si>
    <t>Skuja 2/10</t>
  </si>
  <si>
    <t xml:space="preserve">Skuja 2/10 </t>
  </si>
  <si>
    <t>Baden 2/24</t>
  </si>
  <si>
    <t>Grassi 2/24</t>
  </si>
  <si>
    <t>Skuja 2/24</t>
  </si>
  <si>
    <t>Cost Performance Report</t>
  </si>
  <si>
    <t>Prepared on:</t>
  </si>
  <si>
    <t xml:space="preserve">Hadron Calorimeter -- Cummulative Report -- </t>
  </si>
  <si>
    <t>BCWS</t>
  </si>
  <si>
    <t>BCWP</t>
  </si>
  <si>
    <t>ACWP</t>
  </si>
  <si>
    <t>Commit.</t>
  </si>
  <si>
    <t>Oblig.</t>
  </si>
  <si>
    <t>SV</t>
  </si>
  <si>
    <t>CV</t>
  </si>
  <si>
    <t>BAC</t>
  </si>
  <si>
    <t>BAC Infl.</t>
  </si>
  <si>
    <t>EAC</t>
  </si>
  <si>
    <t>VAC</t>
  </si>
  <si>
    <t>Institution</t>
  </si>
  <si>
    <t>Grant</t>
  </si>
  <si>
    <t>% Compl</t>
  </si>
  <si>
    <t>Status</t>
  </si>
  <si>
    <t>Green/Skuja/Freeman</t>
  </si>
  <si>
    <t>No</t>
  </si>
  <si>
    <t>Closed</t>
  </si>
  <si>
    <t>Open</t>
  </si>
  <si>
    <t>Yes</t>
  </si>
  <si>
    <t>Maryland</t>
  </si>
  <si>
    <t>Boston</t>
  </si>
  <si>
    <t>Nebraska</t>
  </si>
  <si>
    <t>Purdue</t>
  </si>
  <si>
    <t>Princeton</t>
  </si>
  <si>
    <t>Closing</t>
  </si>
  <si>
    <t>Adams/UIC</t>
  </si>
  <si>
    <t>Barnes/Purdue</t>
  </si>
  <si>
    <t>Elias/FNAL</t>
  </si>
  <si>
    <t>2.1.5</t>
  </si>
  <si>
    <t>Front-end Electronics</t>
  </si>
  <si>
    <t>2.1.5.14</t>
  </si>
  <si>
    <t>Teststands for Development and Maintenance</t>
  </si>
  <si>
    <t>2.1.5.14.1</t>
  </si>
  <si>
    <t>SLB PMC</t>
  </si>
  <si>
    <t>vme crystal</t>
  </si>
  <si>
    <t>vme connectors</t>
  </si>
  <si>
    <t>vme buffers</t>
  </si>
  <si>
    <t>front panel/extractors</t>
  </si>
  <si>
    <t>stiffeners</t>
  </si>
  <si>
    <t>labor</t>
  </si>
  <si>
    <t>misc electrical</t>
  </si>
  <si>
    <t>"MISC" stuff</t>
  </si>
  <si>
    <t>Teststands for Developmen/Maintenance-FNAL</t>
  </si>
  <si>
    <t>Teststands for Developmen/Maintenance-Maryland</t>
  </si>
  <si>
    <t>2.1.5.14.3</t>
  </si>
  <si>
    <t>Teststands for Developmen/Maintenance-BOSTON</t>
  </si>
  <si>
    <t>2.1.5.14.4</t>
  </si>
  <si>
    <t>Teststands for Developmen/Maintenance-CERN</t>
  </si>
  <si>
    <t>Source Drivers and Controllers</t>
  </si>
  <si>
    <t>Wire Sources</t>
  </si>
  <si>
    <t>Source Distribution Manifolds</t>
  </si>
  <si>
    <t>Baden/Maryland</t>
  </si>
  <si>
    <t>VME Transition Module (deleted WBS)</t>
  </si>
  <si>
    <t>Hazen/Boston</t>
  </si>
  <si>
    <t>2.1.7.3.1.1</t>
  </si>
  <si>
    <t>VME Data Concentrator Requirements Report (deleted WBS)</t>
  </si>
  <si>
    <t>2.1.7.3.1.3</t>
  </si>
  <si>
    <t>VME Data Concentrator Development (deleted WBS)</t>
  </si>
  <si>
    <t>2.1.7.3.1.3.10</t>
  </si>
  <si>
    <t>VME Data Concentrator Development M&amp;S</t>
  </si>
  <si>
    <t>2.1.7.3.1.4</t>
  </si>
  <si>
    <t>VME Data Concentrator Prototype (deleted WBS)</t>
  </si>
  <si>
    <t>VME Data Concentrator Production (deleted WBS)</t>
  </si>
  <si>
    <t>FIT</t>
  </si>
  <si>
    <t>2.1.7.8</t>
  </si>
  <si>
    <t>PCI Receiver Module (deleted WBS)</t>
  </si>
  <si>
    <t>2.1.7.8.1</t>
  </si>
  <si>
    <t>PCI Receiver Module Development  (deleted WBS)</t>
  </si>
  <si>
    <t>2.1.7.8.2</t>
  </si>
  <si>
    <t>PCI Receiver Module Production  (deleted WBS)</t>
  </si>
  <si>
    <t>HCAL DAQ Concentrator (HDC)  Module (deleted)</t>
  </si>
  <si>
    <t>HDC Prototype Module (9U VME) (deleted)</t>
  </si>
  <si>
    <t>HDC 2nd Prototype Module (9U VME) (deleted)</t>
  </si>
  <si>
    <t>HDC Module Production (deleted)</t>
  </si>
  <si>
    <t>Baden 2/10</t>
  </si>
  <si>
    <t>Grassi 2/10</t>
  </si>
  <si>
    <t>3724+3728</t>
  </si>
  <si>
    <t>CERN</t>
  </si>
  <si>
    <t>Credit from UPS</t>
  </si>
  <si>
    <t>Misc for FEE/HTR</t>
  </si>
  <si>
    <t>9725 2/10/01 ENG</t>
  </si>
  <si>
    <t>9725 2/24/01 ENG</t>
  </si>
  <si>
    <t>1/1/2001-1/31/2000</t>
  </si>
  <si>
    <t>Tullio 12/30</t>
  </si>
  <si>
    <t>Tullio 1/13</t>
  </si>
  <si>
    <t>Tullio 1/27</t>
  </si>
  <si>
    <t>Tullio TIAA 12/30</t>
  </si>
  <si>
    <t>Tullio TIAA 1/13</t>
  </si>
  <si>
    <t>Tullio TIAA 1/27</t>
  </si>
  <si>
    <t>Tullio Health Ins 1/13</t>
  </si>
  <si>
    <t>Tullio Health Ins 1/27</t>
  </si>
  <si>
    <t>American Airlines 2/2</t>
  </si>
  <si>
    <t>Omega World 2/2</t>
  </si>
  <si>
    <t>Southwest Airlines 2/2</t>
  </si>
  <si>
    <t>United Airlines</t>
  </si>
  <si>
    <t>UPS 1/2</t>
  </si>
  <si>
    <t>9725 11/4, 11/18, 12/2 ENG</t>
  </si>
  <si>
    <t>Misc for FEE/HTR 12/21 + surcharge</t>
  </si>
  <si>
    <t>9725 1/13 ENG</t>
  </si>
  <si>
    <t>9725 1/27 ENG</t>
  </si>
  <si>
    <t>9725 12/30 ENG</t>
  </si>
  <si>
    <t>Billed</t>
  </si>
  <si>
    <t>Summed</t>
  </si>
  <si>
    <t>Limo connectors + surcharge 1/11</t>
  </si>
  <si>
    <t>caps + surcharge BREDEN 1/08</t>
  </si>
  <si>
    <t>9725 1/27 MDG</t>
  </si>
  <si>
    <t>Tullio 3/10</t>
  </si>
  <si>
    <t>Tullio 3/24</t>
  </si>
  <si>
    <t>1/1/2003-1/31/2002</t>
  </si>
  <si>
    <t>HongBo 3/7 credit</t>
  </si>
  <si>
    <t>Tullio TIAA 3/10</t>
  </si>
  <si>
    <t>Tullio TIAA 3/24</t>
  </si>
  <si>
    <t>Tullio Health Ins 3/10</t>
  </si>
  <si>
    <t>Tullio Health Ins 3/24</t>
  </si>
  <si>
    <t>Tullio Retiree Health Ins 3/10</t>
  </si>
  <si>
    <t>Tullio Retiree Health Ins 3/24</t>
  </si>
  <si>
    <t>Omega World 3/2</t>
  </si>
  <si>
    <t>Northwest Airlines 3/2</t>
  </si>
  <si>
    <t>American Airlines 3/2</t>
  </si>
  <si>
    <t>Continental Airlines 3/2</t>
  </si>
  <si>
    <t>Travel-ON 3/2</t>
  </si>
  <si>
    <t>Kunori 3/10</t>
  </si>
  <si>
    <t>Skuja 3/10</t>
  </si>
  <si>
    <t>Grassi 3/24</t>
  </si>
  <si>
    <t>Skuja 3/24</t>
  </si>
  <si>
    <t>United Airlines 3/2</t>
  </si>
  <si>
    <t>Misc for FEE/HTR 3/2</t>
  </si>
  <si>
    <t>9725 2/24 ENG</t>
  </si>
  <si>
    <t>9725 3/10 ENG</t>
  </si>
  <si>
    <t>Integration</t>
  </si>
  <si>
    <t>Universal Tester ENG</t>
  </si>
  <si>
    <t>Universal Tester M&amp;S</t>
  </si>
  <si>
    <t>FEE ENG</t>
  </si>
  <si>
    <t>FEE M&amp;S</t>
  </si>
  <si>
    <t>HTR Demonstrator ENG</t>
  </si>
  <si>
    <t>HTR Demonstrator M&amp;S</t>
  </si>
  <si>
    <t xml:space="preserve">TTC Setup </t>
  </si>
  <si>
    <t>Demonstrator Integration</t>
  </si>
  <si>
    <t>HTR Requirements Report</t>
  </si>
  <si>
    <t>3/1/2001-3/31/2000</t>
  </si>
  <si>
    <t>Schaeffer</t>
  </si>
  <si>
    <t>DIMM/EPROM/TTL-ECL</t>
  </si>
  <si>
    <t>US Electronics</t>
  </si>
  <si>
    <t>Crucial</t>
  </si>
  <si>
    <t>memory</t>
  </si>
  <si>
    <t>Misc computer equip</t>
  </si>
  <si>
    <t>credit</t>
  </si>
  <si>
    <t>Misc stuff</t>
  </si>
  <si>
    <t>Transmitters</t>
  </si>
  <si>
    <t>Agilent</t>
  </si>
  <si>
    <t>4/1/2001-4/30/2000</t>
  </si>
  <si>
    <t>Tullio 4/7</t>
  </si>
  <si>
    <t>Tullio 4/21</t>
  </si>
  <si>
    <t>Tullio TIAA 4/7</t>
  </si>
  <si>
    <t>Tullio TIAA 4/21</t>
  </si>
  <si>
    <t>Tullio Health Ins 4/7</t>
  </si>
  <si>
    <t>Tullio Health Ins 4/21</t>
  </si>
  <si>
    <t>Tullio Retiree Health Ins 4/7</t>
  </si>
  <si>
    <t>Tullio Retiree Health Ins 4/21</t>
  </si>
  <si>
    <t>2705+2710+2711 Benefits</t>
  </si>
  <si>
    <t>Skuja 4/21</t>
  </si>
  <si>
    <t>Omega World 4/7</t>
  </si>
  <si>
    <t>US Airways 4/7</t>
  </si>
  <si>
    <t>Kunori 4/7</t>
  </si>
  <si>
    <t>Delta 4/7</t>
  </si>
  <si>
    <t>Travel-ON 4/7</t>
  </si>
  <si>
    <t>3914 Purchases</t>
  </si>
  <si>
    <t>Arrow, Hamilton 4/18</t>
  </si>
  <si>
    <t>3724 General</t>
  </si>
  <si>
    <t>9725 4/7 ENG</t>
  </si>
  <si>
    <t>9725 4/21 ENG</t>
  </si>
  <si>
    <t>SKUJA 4/11 CERN S-LINK cards</t>
  </si>
  <si>
    <t>5/1/2001-5/31/2000</t>
  </si>
  <si>
    <t>Tullio 5/5</t>
  </si>
  <si>
    <t>Tullio 5/19</t>
  </si>
  <si>
    <t>Tullio TIAA 5/5</t>
  </si>
  <si>
    <t>Tullio TIAA 5/19</t>
  </si>
  <si>
    <t>Tullio Health Ins 5/5</t>
  </si>
  <si>
    <t>Tullio Health Ins 5/19</t>
  </si>
  <si>
    <t>Tullio Retiree Health Ins 5/5</t>
  </si>
  <si>
    <t>Tullio Retiree Health Ins 5/19</t>
  </si>
  <si>
    <t>Baden 5/5</t>
  </si>
  <si>
    <t>Omega World 5/5</t>
  </si>
  <si>
    <t>Baden 5/19</t>
  </si>
  <si>
    <t>US Airways 5/5</t>
  </si>
  <si>
    <t>Skuja 5/19</t>
  </si>
  <si>
    <t>Travel-ON 5/5</t>
  </si>
  <si>
    <t>American Airlines 5/5</t>
  </si>
  <si>
    <t>United Airlines 6/1</t>
  </si>
  <si>
    <t>Credit</t>
  </si>
  <si>
    <t>6/1/2001-6/30/2000</t>
  </si>
  <si>
    <t>Tullio 6/2</t>
  </si>
  <si>
    <t>Tullio 6/16</t>
  </si>
  <si>
    <t>Tullio 5/30</t>
  </si>
  <si>
    <t>Tullio TIAA 6/2</t>
  </si>
  <si>
    <t>Tullio Health Ins 6/2</t>
  </si>
  <si>
    <t>Tullio Retiree Health Ins 6/2</t>
  </si>
  <si>
    <t>Tullio Health Ins 6/16</t>
  </si>
  <si>
    <t>Tullio Retiree Health Ins 6/16</t>
  </si>
  <si>
    <t>WANG 6/11</t>
  </si>
  <si>
    <t>2075 Student (Other)</t>
  </si>
  <si>
    <t>Grassi 6/2</t>
  </si>
  <si>
    <t>Skuja 6/16</t>
  </si>
  <si>
    <t>Kunori 6/2</t>
  </si>
  <si>
    <t>United Airlines 6/27</t>
  </si>
  <si>
    <t xml:space="preserve">SKUJA 6/20 CERN </t>
  </si>
  <si>
    <t>Xilinx FPGA V2 pro</t>
  </si>
  <si>
    <t>Latitude notebook for testbeam</t>
  </si>
  <si>
    <t>Xilinx stuff</t>
  </si>
  <si>
    <t>FedEx from CERN</t>
  </si>
  <si>
    <t>HTR board</t>
  </si>
  <si>
    <t>Cranbury</t>
  </si>
  <si>
    <t>9/1/2002-9/30/2002</t>
  </si>
  <si>
    <t>Tullio 9/7 9/21</t>
  </si>
  <si>
    <t>Ardash 9/7 9/21</t>
  </si>
  <si>
    <t>2705 Tullio TIAA optional 9/7 9/21</t>
  </si>
  <si>
    <t>2710 Tullio Health Ins 9/7 9/21</t>
  </si>
  <si>
    <t>2711 Tullio Retiree 9/7 9/21</t>
  </si>
  <si>
    <t>2725 Tullio SocSec 9/7 9/21</t>
  </si>
  <si>
    <t>2770 Tullio unemply ins 9/7 9/21</t>
  </si>
  <si>
    <t>Summer Session 1 2002 Ardash</t>
  </si>
  <si>
    <t>Fall 2002 Ardash</t>
  </si>
  <si>
    <t>Grassi 9/7</t>
  </si>
  <si>
    <t>FedEx credit?</t>
  </si>
  <si>
    <t>?</t>
  </si>
  <si>
    <t>Megonigal Scope Probe</t>
  </si>
  <si>
    <t>CERN Testbeam stuff</t>
  </si>
  <si>
    <t>9725 9/21 EDG</t>
  </si>
  <si>
    <t>9725 9/7 EDG</t>
  </si>
  <si>
    <t>Laptop for Testbeam</t>
  </si>
  <si>
    <t>10/1/2002-10/31/2002</t>
  </si>
  <si>
    <t>Tullio 10/05 10/19</t>
  </si>
  <si>
    <t>Ardash 10/05 10/19</t>
  </si>
  <si>
    <t>2705 Tullio TIAA optional 10/05 10/19</t>
  </si>
  <si>
    <t>2710 Tullio Health Ins 10/05 10/19</t>
  </si>
  <si>
    <t>2711 Tullio Retiree 10/05 10/19</t>
  </si>
  <si>
    <t>2725 Tullio SocSec 10/05 10/19</t>
  </si>
  <si>
    <t>2770 Tullio unemply ins 10/05 10/19</t>
  </si>
  <si>
    <t>3722+3724+3732 (CERN)</t>
  </si>
  <si>
    <t>da Silva</t>
  </si>
  <si>
    <t>testbeam stuff (S-link, etc.)</t>
  </si>
  <si>
    <t>Arrow (Megonigal), wrong subcode</t>
  </si>
  <si>
    <t>3722+3724+3732 (CERN) (hit $25k limit)</t>
  </si>
  <si>
    <t>Credit from Aug/02 purchase (moved to 4348)</t>
  </si>
  <si>
    <t>9725 10/05 EDG</t>
  </si>
  <si>
    <t>9725 10/19 EDG</t>
  </si>
  <si>
    <t>11/1/2002-11/30/2002</t>
  </si>
  <si>
    <t>Tullio 11/02 11/16</t>
  </si>
  <si>
    <t>Ardash 11/02 11/16</t>
  </si>
  <si>
    <t>2705 Tullio TIAA optional 11/02 11/16</t>
  </si>
  <si>
    <t>2710 Tullio Health Ins 11/02 11/16</t>
  </si>
  <si>
    <t>2711 Tullio Retiree 11/02 11/16</t>
  </si>
  <si>
    <t>2725 Tullio SocSec 11/02 11/16</t>
  </si>
  <si>
    <t>2770 Tullio unemply ins 11/02 11/16</t>
  </si>
  <si>
    <t>SBS Bit3 adapter</t>
  </si>
  <si>
    <t>3952  Other Supply/Matl</t>
  </si>
  <si>
    <t>Sony PC Drew (Laptop)</t>
  </si>
  <si>
    <t>Aldec renewal</t>
  </si>
  <si>
    <t>9725 11/02 EDG</t>
  </si>
  <si>
    <t>9725 11/16 EDG</t>
  </si>
  <si>
    <t>12/1/2002-12/31/2002</t>
  </si>
  <si>
    <t>Tullio 11/30 12/14</t>
  </si>
  <si>
    <t>Ardash 11/30 12/14</t>
  </si>
  <si>
    <t>2705 Tullio TIAA optional 11/30 12/14</t>
  </si>
  <si>
    <t>2710 Tullio Health Ins 11/30 12/14</t>
  </si>
  <si>
    <t>2711 Tullio Retiree 11/30 12/14</t>
  </si>
  <si>
    <t>2725 Tullio SocSec 11/30 12/14</t>
  </si>
  <si>
    <t>2770 Tullio unemply ins 11/30 12/14</t>
  </si>
  <si>
    <t>Drew trip to CERN</t>
  </si>
  <si>
    <t>9725 12/14 EDG+MDG</t>
  </si>
  <si>
    <t>9725 11/30 EDG</t>
  </si>
  <si>
    <t>Difference (BAC)</t>
  </si>
  <si>
    <t>Difference (BAC infl)</t>
  </si>
  <si>
    <t>VCSEL Acquisition</t>
  </si>
  <si>
    <t>VCSEL Spares</t>
  </si>
  <si>
    <t>2.1.7.1.2</t>
  </si>
  <si>
    <t>VME Readout Module Production  (deleted WBS)</t>
  </si>
  <si>
    <t>2.1.7.2</t>
  </si>
  <si>
    <t>2.1.7.2.2</t>
  </si>
  <si>
    <t>Demonstrator Module  (deleted WBS)</t>
  </si>
  <si>
    <t>2.1.7.2.3</t>
  </si>
  <si>
    <t>VME Transition Module Development  (deleted WBS)</t>
  </si>
  <si>
    <t>2.1.7.2.4</t>
  </si>
  <si>
    <t>VME Transition Module Production  (deleted WBS)</t>
  </si>
  <si>
    <t>2.1.7.10.5.3</t>
  </si>
  <si>
    <t>Crate Fanout Prototype Module M&amp;S-Princeton</t>
  </si>
  <si>
    <t>Tully/Princeton</t>
  </si>
  <si>
    <t>2.2.7.11</t>
  </si>
  <si>
    <t>HO Trigger Link Development</t>
  </si>
  <si>
    <t>2.2.7.11.1</t>
  </si>
  <si>
    <t>HO Trigger Link Development EDIA</t>
  </si>
  <si>
    <t>2.2.7.11.2</t>
  </si>
  <si>
    <t>HO Trigger Link Development M&amp;S</t>
  </si>
  <si>
    <t>2.3.5.9.1</t>
  </si>
  <si>
    <t>2.3.5.9.2</t>
  </si>
  <si>
    <t>9725 6/2 ENG</t>
  </si>
  <si>
    <t>9725 6/16 ENG</t>
  </si>
  <si>
    <t>Nu Horizons</t>
  </si>
  <si>
    <t>Insight</t>
  </si>
  <si>
    <t>HTR</t>
  </si>
  <si>
    <t>Data Circuit</t>
  </si>
  <si>
    <t>Testfixture</t>
  </si>
  <si>
    <t>M&amp;S ESTIMATE</t>
  </si>
  <si>
    <t>FEE</t>
  </si>
  <si>
    <t>SKUJA 5/8 CERN computer for Sarma</t>
  </si>
  <si>
    <t>SKUJA 5/29 CERN (credit next month)</t>
  </si>
  <si>
    <t>Anil for firmware</t>
  </si>
  <si>
    <t>Computing in building 186</t>
  </si>
  <si>
    <t>Prototype ENG</t>
  </si>
  <si>
    <t>PrototypeM&amp;S</t>
  </si>
  <si>
    <t>Prototype M&amp;S</t>
  </si>
  <si>
    <t>Computing in Building 189</t>
  </si>
  <si>
    <t>2nd Prototype ENG</t>
  </si>
  <si>
    <t>2nd PrototypeM&amp;S</t>
  </si>
  <si>
    <t>TSHAW</t>
  </si>
  <si>
    <t>2.1.7.15</t>
  </si>
  <si>
    <t>2.1.7.15.1</t>
  </si>
  <si>
    <t>Channels/Fiber</t>
  </si>
  <si>
    <t>Spares</t>
  </si>
  <si>
    <t>24 Channel/8 Fiber HTR</t>
  </si>
  <si>
    <t>48 Channel/16 Fiber</t>
  </si>
  <si>
    <t>Item</t>
  </si>
  <si>
    <t>Unit</t>
  </si>
  <si>
    <t>Rx chips</t>
  </si>
  <si>
    <t>LVDS</t>
  </si>
  <si>
    <t>Optical-to-electrical</t>
  </si>
  <si>
    <t>TTCrx and circuitry</t>
  </si>
  <si>
    <t>SLB</t>
  </si>
  <si>
    <t>DCC</t>
  </si>
  <si>
    <t>HRC</t>
  </si>
  <si>
    <t>TPG Cable</t>
  </si>
  <si>
    <t>TPG Connection Cable</t>
  </si>
  <si>
    <t>Crates</t>
  </si>
  <si>
    <t>Cards</t>
  </si>
  <si>
    <t>Racks</t>
  </si>
  <si>
    <t>Cables</t>
  </si>
  <si>
    <t>HB</t>
  </si>
  <si>
    <t>HE</t>
  </si>
  <si>
    <t>HO</t>
  </si>
  <si>
    <t>HF</t>
  </si>
  <si>
    <t>Cost as of Sept 01</t>
  </si>
  <si>
    <t>SLB Boards</t>
  </si>
  <si>
    <t>SLB Trigger Link M&amp;S (20% Spares)</t>
  </si>
  <si>
    <t>Changes</t>
  </si>
  <si>
    <t>SLB ENG</t>
  </si>
  <si>
    <t>2.1.7.15.2</t>
  </si>
  <si>
    <t>SLB Transition</t>
  </si>
  <si>
    <t>7/1/2001-7/31/2001</t>
  </si>
  <si>
    <t>TI Eval module</t>
  </si>
  <si>
    <t>TI</t>
  </si>
  <si>
    <t>Books</t>
  </si>
  <si>
    <t>Amazon</t>
  </si>
  <si>
    <t>SSOP Test Clip</t>
  </si>
  <si>
    <t>Newark/Baum</t>
  </si>
  <si>
    <t>HTR Boards+CHIP KIT</t>
  </si>
  <si>
    <t xml:space="preserve">CR </t>
  </si>
  <si>
    <t>EDM wire beta cut</t>
  </si>
  <si>
    <t>Transceivers</t>
  </si>
  <si>
    <t>Finisar</t>
  </si>
  <si>
    <t>HTR Boards Assembly</t>
  </si>
  <si>
    <t>CR</t>
  </si>
  <si>
    <t>Tullio 7/14</t>
  </si>
  <si>
    <t>Tullio 7/28</t>
  </si>
  <si>
    <t>Anil 7/14</t>
  </si>
  <si>
    <t>Anil 7/28</t>
  </si>
  <si>
    <t>Tullio Health Ins 7/14</t>
  </si>
  <si>
    <t>Tullio Health Ins 7/28</t>
  </si>
  <si>
    <t>Tullio Retiree Health Ins 7/14</t>
  </si>
  <si>
    <t>Tullio Retiree Health Ins 7/28</t>
  </si>
  <si>
    <t>3311 In-State Travel</t>
  </si>
  <si>
    <t>MO Pool usechg 7/30</t>
  </si>
  <si>
    <t>Grassi 7/28</t>
  </si>
  <si>
    <t>Kunori 7/14</t>
  </si>
  <si>
    <t>Skuja 7/14</t>
  </si>
  <si>
    <t>American Airlines 8/3</t>
  </si>
  <si>
    <t>Omega</t>
  </si>
  <si>
    <t>9725 6/30 ENG</t>
  </si>
  <si>
    <t>9725 7/14 ENG+MACHINE SHOP</t>
  </si>
  <si>
    <t>9725 7/28 ENG</t>
  </si>
  <si>
    <t>FEE/HTR CR charges</t>
  </si>
  <si>
    <t>Misc FEE/HTR</t>
  </si>
  <si>
    <t>Final F01</t>
  </si>
  <si>
    <t>HTR Production M&amp;S</t>
  </si>
  <si>
    <t>HTR Production ENG</t>
  </si>
  <si>
    <t>HTR Production Shipping</t>
  </si>
  <si>
    <t>SLB Trigger Link M&amp;S</t>
  </si>
  <si>
    <t>SLB Trigger Link ENG</t>
  </si>
  <si>
    <t>2.1.7.15.3</t>
  </si>
  <si>
    <t>SLB Transition Boards</t>
  </si>
  <si>
    <t>Check</t>
  </si>
  <si>
    <t>8/1/2001-8/31/2001</t>
  </si>
  <si>
    <t>Tullio 8/11</t>
  </si>
  <si>
    <t>Tullio 8/25</t>
  </si>
  <si>
    <t>Anil 8/11</t>
  </si>
  <si>
    <t>Anil 8/25</t>
  </si>
  <si>
    <t>Tullio Health Ins 8/11</t>
  </si>
  <si>
    <t>Tullio Health Ins 8/25</t>
  </si>
  <si>
    <t>Tullio Retiree Health Ins 8/11</t>
  </si>
  <si>
    <t>Tullio Retiree Health Ins 8/25</t>
  </si>
  <si>
    <t>Skuja 8/25</t>
  </si>
  <si>
    <t>mistake, credit given 9/01</t>
  </si>
  <si>
    <t>TI Eval board + books + misc</t>
  </si>
  <si>
    <t>HTR demo boards</t>
  </si>
  <si>
    <t>EDM work from MDG</t>
  </si>
  <si>
    <t xml:space="preserve"> 9725 8/11 MDG</t>
  </si>
  <si>
    <t>9725 8/11 EDG</t>
  </si>
  <si>
    <t>9725 9/8 EDG</t>
  </si>
  <si>
    <t>9/1/2001-9/30/2001</t>
  </si>
  <si>
    <t>Tullio 9/8</t>
  </si>
  <si>
    <t>Tullio 9/22</t>
  </si>
  <si>
    <t>Anil 9/8</t>
  </si>
  <si>
    <t>Tullio 9/8 TIAA Optional</t>
  </si>
  <si>
    <t>Tullio 9/22 TIAA Optional</t>
  </si>
  <si>
    <t>Tullio Health Ins 9/22</t>
  </si>
  <si>
    <t>Tullio Health Ins 9/8</t>
  </si>
  <si>
    <t>Tullio Retiree Health Ins 9/8</t>
  </si>
  <si>
    <t>Tullio Retiree Health Ins 9/22</t>
  </si>
  <si>
    <t>3321 Travel - Out-of-State</t>
  </si>
  <si>
    <t>Skuja 9/8</t>
  </si>
  <si>
    <t>BU?</t>
  </si>
  <si>
    <t>Allied</t>
  </si>
  <si>
    <t>N/A</t>
  </si>
  <si>
    <t>United Airlines?</t>
  </si>
  <si>
    <t>Breden 9/20</t>
  </si>
  <si>
    <t>Books + HTR board assembly</t>
  </si>
  <si>
    <t>2775 Tuition Waiver GA</t>
  </si>
  <si>
    <t>Adarsh 9/8</t>
  </si>
  <si>
    <t>Adarsh 9/22</t>
  </si>
  <si>
    <t>FALL01 Tuition Waiver Adarsh</t>
  </si>
  <si>
    <t>10/1/2001-10/31/2001</t>
  </si>
  <si>
    <t>Tullio 10/6</t>
  </si>
  <si>
    <t>Tullio 10/20</t>
  </si>
  <si>
    <t>Adarsh 10/6</t>
  </si>
  <si>
    <t>Tullio 10/6 TIAA Optional</t>
  </si>
  <si>
    <t>Tullio 10/20 TIAA Optional</t>
  </si>
  <si>
    <t>Tullio Health Ins 10/6</t>
  </si>
  <si>
    <t>Tullio Health Ins 10/20</t>
  </si>
  <si>
    <t>Tullio Retiree Health Ins 10/6</t>
  </si>
  <si>
    <t>Tullio Retiree Health Ins 10/20</t>
  </si>
  <si>
    <t>TULLIO 10/20</t>
  </si>
  <si>
    <t>OMEGA</t>
  </si>
  <si>
    <t>UPS Breden 10/24</t>
  </si>
  <si>
    <t>9725 9/22 ENG</t>
  </si>
  <si>
    <t>9725 9/8 ENG</t>
  </si>
  <si>
    <t>972510/6 ENG</t>
  </si>
  <si>
    <t>9724 10/20 ENG</t>
  </si>
  <si>
    <t>Fiber cables/plugs</t>
  </si>
  <si>
    <t>Allied/ComCable</t>
  </si>
  <si>
    <t>10/5 misc for prototype</t>
  </si>
  <si>
    <t>Xilinx FPGA</t>
  </si>
  <si>
    <t>circuit boards</t>
  </si>
  <si>
    <t>SMA connectors</t>
  </si>
  <si>
    <t>Pasternack</t>
  </si>
  <si>
    <t>Aldec</t>
  </si>
  <si>
    <t>Arrow</t>
  </si>
  <si>
    <t>11/1/2001-11/30/2001</t>
  </si>
  <si>
    <t>Tullio 11/3</t>
  </si>
  <si>
    <t>Tullio 11/17</t>
  </si>
  <si>
    <t>Adarsh 11/3</t>
  </si>
  <si>
    <t>Adarsh 11/17</t>
  </si>
  <si>
    <t>Tullio 11/3 TIAA Optional</t>
  </si>
  <si>
    <t>Tullio 11/17 TIAA Optional</t>
  </si>
  <si>
    <t>Tullio Health Ins 11/3</t>
  </si>
  <si>
    <t>Tullio Health Ins 11/17</t>
  </si>
  <si>
    <t>Grassi 11/17</t>
  </si>
  <si>
    <t>3952 Other Supply/Matl</t>
  </si>
  <si>
    <t>Amazon/Baden PCR</t>
  </si>
  <si>
    <t>Dell/Baden PCR</t>
  </si>
  <si>
    <t>UMBookStore/Baden PCR</t>
  </si>
  <si>
    <t>9725 11/3 ENG</t>
  </si>
  <si>
    <t>9725 11/17 ENG</t>
  </si>
  <si>
    <t>HTR prototype parts</t>
  </si>
  <si>
    <t>12/1/2001-12/31/2001</t>
  </si>
  <si>
    <t>Tullio 12/1</t>
  </si>
  <si>
    <t>Tullio 12/15</t>
  </si>
  <si>
    <t>Adarsh 12/1</t>
  </si>
  <si>
    <t>Adarsh 12/15</t>
  </si>
  <si>
    <t>Tullio 12/1 TIAA Optional</t>
  </si>
  <si>
    <t>Tullio 12/15 TIAA Optional</t>
  </si>
  <si>
    <t>Tullio Health Ins 12/1</t>
  </si>
  <si>
    <t>Tullio Health Ins 12/15</t>
  </si>
  <si>
    <t>Tullio Retiree Health Ins 12/1</t>
  </si>
  <si>
    <t>Tullio Retiree Health Ins 12/15</t>
  </si>
  <si>
    <t>Tullio Retiree Health Ins 11/3</t>
  </si>
  <si>
    <t>Tullio Retiree Health Ins 11/17</t>
  </si>
  <si>
    <t>USAirways 12/7</t>
  </si>
  <si>
    <t>TCRD12 12/7</t>
  </si>
  <si>
    <t>Omega 12/7</t>
  </si>
  <si>
    <t>Skuja 12/1</t>
  </si>
  <si>
    <t>4060 Computers-Admin</t>
  </si>
  <si>
    <t>Rack mounted dual PC for Tully</t>
  </si>
  <si>
    <t>9725 12/1 ENG</t>
  </si>
  <si>
    <t>9725 12/15 ENG</t>
  </si>
  <si>
    <t>HTR prototype parts, boards, etc.</t>
  </si>
  <si>
    <t>Fermilab Paid</t>
  </si>
  <si>
    <t>VME cr</t>
  </si>
  <si>
    <t>VME rack</t>
  </si>
  <si>
    <t>TPGcable</t>
  </si>
  <si>
    <t>SLB_HEX</t>
  </si>
  <si>
    <t>"HRC"</t>
  </si>
  <si>
    <t>Bit3</t>
  </si>
  <si>
    <t>RackComp</t>
  </si>
  <si>
    <t>Rack Computer</t>
  </si>
  <si>
    <t>Test Stands</t>
  </si>
  <si>
    <t>2 HTR</t>
  </si>
  <si>
    <t>1 crate</t>
  </si>
  <si>
    <t>1 Rack Computer</t>
  </si>
  <si>
    <t>1 Bit3</t>
  </si>
  <si>
    <t>1 TTC fanout</t>
  </si>
  <si>
    <t>1 DCC</t>
  </si>
  <si>
    <t>Domestic</t>
  </si>
  <si>
    <t>Foreign</t>
  </si>
  <si>
    <t xml:space="preserve">Domestic </t>
  </si>
  <si>
    <t>Overhead</t>
  </si>
  <si>
    <t>Drew's Amt Billed prior to Oct, Nov, Dec invoices.</t>
  </si>
  <si>
    <t>P.O. Date</t>
  </si>
  <si>
    <t>Line #</t>
  </si>
  <si>
    <t>Description</t>
  </si>
  <si>
    <t>Total Price</t>
  </si>
  <si>
    <t>QTY_CANCELLED</t>
  </si>
  <si>
    <t>PO TOTAL</t>
  </si>
  <si>
    <t>Amt Billed</t>
  </si>
  <si>
    <t>Balance</t>
  </si>
  <si>
    <t>27-NOV-01</t>
  </si>
  <si>
    <t>2.1.1.5.1.5 - WORKSTATIONS</t>
  </si>
  <si>
    <t>2.1.7.11.1.1 - UNIVERSAL TESTER MODULE DESIGN &amp; TESTING</t>
  </si>
  <si>
    <t>2.1.7.11.1.2 - UNIVERSAL TESTER MODULE DESIGN M&amp;S</t>
  </si>
  <si>
    <t>2.1.7.11.2.1 - FEE EMULATOR DESIGN &amp; TESTING</t>
  </si>
  <si>
    <t>10-DEC-01</t>
  </si>
  <si>
    <t>2.1.7.11.2.2 - FEE EMULATOR M&amp;S</t>
  </si>
  <si>
    <t>2.1.7.13.1 - TRIGGER/DAQ HCAL INTEGRATION</t>
  </si>
  <si>
    <t>2.1.7.13.1 - TRIGGER/DAQ HCAL DAQ/TRIGGER INTEGRATION (MARYLAND)</t>
  </si>
  <si>
    <t>01-FEB-02</t>
  </si>
  <si>
    <t>08-FEB-99</t>
  </si>
  <si>
    <t>WBS 2.1.1.5.1.3 - BLDG PREP &amp; INFRASTRUCTURE</t>
  </si>
  <si>
    <t>2.1.1.5.1.3 - BLDG. PREP. &amp; INFRASTRUCTURE</t>
  </si>
  <si>
    <t>WBS 2.1.1.5.1.4 - INSTALLATION FIXTURES</t>
  </si>
  <si>
    <t>30-AUG-01</t>
  </si>
  <si>
    <t>2.1.1.5.1.4 - INSTALLATION FIXTURES</t>
  </si>
  <si>
    <t>WBS 2.1.1.5.1.5 - WORKSTATIONS</t>
  </si>
  <si>
    <t>2.1.7.1.1.2 - HTR MODULE SPECIFICATION - ADD LINE 12</t>
  </si>
  <si>
    <t>WBS 2.1.1.8.6.9 - MARYLAND MGMT TRAVEL</t>
  </si>
  <si>
    <t>WBS 2.1.10.1.6.4 - MOUNT ACCELEROMETERS</t>
  </si>
  <si>
    <t>WBS 2.1.1.8.5 HCAL INSTALLATION INTEGRATION-FY97</t>
  </si>
  <si>
    <t>21-AUG-98</t>
  </si>
  <si>
    <t>2.1.10.4.3 - ACCELEROMETERS (PPPA SHIPPING) EDIA</t>
  </si>
  <si>
    <t>30-APR-98</t>
  </si>
  <si>
    <t>WBS2.1.1.1 - BARREL EDIA.</t>
  </si>
  <si>
    <t>WBS2.1.10.4.3 - ACCELEROMETER (PPPI SHIPPING) EDIA AND M&amp;S.</t>
  </si>
  <si>
    <t>WBS2.1.7 - TRIGGER/DAQ.</t>
  </si>
  <si>
    <t>2.1.7 - TRIGGER/DAQ</t>
  </si>
  <si>
    <t>13-APR-00</t>
  </si>
  <si>
    <t>2.1.7.1.1.4.1 - PROTOTYPE MODULE DESIGN &amp; TESTING</t>
  </si>
  <si>
    <t>2.1.7.1.1.4.2 - HTR PROTOTYPE MODULE M&amp;S</t>
  </si>
  <si>
    <t>2.1.7.11.1.5 - TTC AND LHC EMULATOR SETUP</t>
  </si>
  <si>
    <t>2.1.7.12.1 - DEMONSTRATOR INTEGRATION TESTS (MARYLAND)</t>
  </si>
  <si>
    <t>2.1.7.1.1.5.1 - HTR PROTOTYPE MODULE DESIGN &amp; TESTING</t>
  </si>
  <si>
    <t>2.1.7.1.1.5.2 - HTR PROTOTYPE MODULE M&amp;S</t>
  </si>
  <si>
    <t>2.1.7.1.1.6.1 - HTR PRODUCTION MODULE M&amp;S (10% SPARES)</t>
  </si>
  <si>
    <t>2.1.7.5.1 - VME RELAY RACKS M&amp;S (NO SPARES)</t>
  </si>
  <si>
    <t>2.1.7.1.1.6.2 - HTR PRODUCTION MODULE ENGINEERING SUPPORT</t>
  </si>
  <si>
    <t>2.1.7.12.4 - PROTOTYPE INTEGRATION TESTS (MARYLAND)</t>
  </si>
  <si>
    <t>2.2.7.1.1 - HTR MODULE M&amp;S (10% SPARES)</t>
  </si>
  <si>
    <t>2.3.7.1.1 - HTR MODULE M&amp;S (10% SPARES)</t>
  </si>
  <si>
    <t>2.3.7.5 - VME RELAY RACKS M&amp;S (NO SPARES)</t>
  </si>
  <si>
    <t>2.5.7.1.1 - HTR MODULE M&amp;S (10% SPARES)</t>
  </si>
  <si>
    <t>2.5.7.5 - VME RELAY RACKS M&amp;S (NO SPARES)</t>
  </si>
  <si>
    <t>CAL SLB</t>
  </si>
  <si>
    <t>2.1.10.1.5.4 - MOUNT HB PPP1 ACCELEROMETERS</t>
  </si>
  <si>
    <t>2.1.7.1.1.3.1 - HTR DEMONSTRATOR MODULE DESIGN &amp; TESTING</t>
  </si>
  <si>
    <t>2.1.7.1.1.3.2 - HTR DEMONSTRATOR MODULE M&amp;S</t>
  </si>
  <si>
    <t>FNAL Billed</t>
  </si>
  <si>
    <t>x</t>
  </si>
  <si>
    <t>not mine</t>
  </si>
  <si>
    <t>FNAL not mine</t>
  </si>
  <si>
    <t>FNAL total</t>
  </si>
  <si>
    <t>TOTAL thru 10/01</t>
  </si>
  <si>
    <t>Diff</t>
  </si>
  <si>
    <t>Total UMD thinks FNAL paid</t>
  </si>
  <si>
    <t>1/1/2002-1/31/2002</t>
  </si>
  <si>
    <t>Tullio 12/29</t>
  </si>
  <si>
    <t>Adarsh 12/29</t>
  </si>
  <si>
    <t>Adarsh 1/12</t>
  </si>
  <si>
    <t>Adarsh 1/26</t>
  </si>
  <si>
    <t>Tullio 1/12</t>
  </si>
  <si>
    <t>Tullio 1/26</t>
  </si>
  <si>
    <t>Tullio 12/29 TIAA Optional</t>
  </si>
  <si>
    <t>Tullio 1/12 TIAA Optional</t>
  </si>
  <si>
    <t>Tullio 1/29 TIAA Optional</t>
  </si>
  <si>
    <t>Tullio Health Ins 1/12</t>
  </si>
  <si>
    <t>Tullio Health Ins 1/29</t>
  </si>
  <si>
    <t>Tullio Retiree 1/12</t>
  </si>
  <si>
    <t>Tullio Retiree 1/26</t>
  </si>
  <si>
    <t>Delta Airlines 2/1</t>
  </si>
  <si>
    <t>Omega 2/1</t>
  </si>
  <si>
    <t>Travel-ON</t>
  </si>
  <si>
    <t>Baden 12/29</t>
  </si>
  <si>
    <t>UAL 1/4</t>
  </si>
  <si>
    <t>9725 12/29 ENG</t>
  </si>
  <si>
    <t>9725 1/12 ENG</t>
  </si>
  <si>
    <t>9725 1/26 ENG</t>
  </si>
  <si>
    <t>2/1/2002-2/28/2002</t>
  </si>
  <si>
    <t>Tullio 2/23</t>
  </si>
  <si>
    <t>Tullio 2/09</t>
  </si>
  <si>
    <t>Adarsh 2/9</t>
  </si>
  <si>
    <t>Adarsh 2/23</t>
  </si>
  <si>
    <t>Tullio 2/9  TIAA Optional</t>
  </si>
  <si>
    <t>Tullio 2/23 TIAA Optional</t>
  </si>
  <si>
    <t>Tullio Health Ins 2/9</t>
  </si>
  <si>
    <t>Tullio Health Ins 2/23</t>
  </si>
  <si>
    <t>Tullio Retiree 2/9</t>
  </si>
  <si>
    <t>Tullio Retiree 2/23</t>
  </si>
  <si>
    <t>Ardash tuition waver</t>
  </si>
  <si>
    <t>Skuja 2/23</t>
  </si>
  <si>
    <t>9725 2/9 ENG</t>
  </si>
  <si>
    <t>9725 2/23 ENG</t>
  </si>
  <si>
    <t>3/1/2002-3/31/2002</t>
  </si>
  <si>
    <t>Tullio 3/09</t>
  </si>
  <si>
    <t>Tullio 3/23</t>
  </si>
  <si>
    <t>Adarsh 3/9</t>
  </si>
  <si>
    <t>Adarsh 3/23</t>
  </si>
  <si>
    <t>Tullio 3/9  TIAA Optional</t>
  </si>
  <si>
    <t>Tullio 3/23 TIAA Optional</t>
  </si>
  <si>
    <t>Tullio Health Ins 3/9</t>
  </si>
  <si>
    <t>Tullio Health Ins 3/23</t>
  </si>
  <si>
    <t>Tullio Retiree 3/9</t>
  </si>
  <si>
    <t>Tullio Retiree 3/23</t>
  </si>
  <si>
    <t>3722 Subcontract&lt;$25k</t>
  </si>
  <si>
    <t>9725 3/9 ENG</t>
  </si>
  <si>
    <t>9725 3/23 ENG</t>
  </si>
  <si>
    <t>Stratos Rx (24)</t>
  </si>
  <si>
    <t>Agilent scope parts</t>
  </si>
  <si>
    <t>HTR prototype CR</t>
  </si>
  <si>
    <t>CMS computer memory</t>
  </si>
  <si>
    <t>capacitor</t>
  </si>
  <si>
    <t xml:space="preserve">Misc for HTR (inc. TI parts) </t>
  </si>
  <si>
    <t>freight and shipping</t>
  </si>
  <si>
    <t>capacitors</t>
  </si>
  <si>
    <t>HTR parts (includes TI parts)</t>
  </si>
  <si>
    <t>Freight and shipping</t>
  </si>
  <si>
    <t>Spent</t>
  </si>
  <si>
    <t>Including 9715</t>
  </si>
  <si>
    <t>Graduate Student help</t>
  </si>
  <si>
    <t>Spare Cards</t>
  </si>
  <si>
    <t>VME</t>
  </si>
  <si>
    <t>Fanout Card</t>
  </si>
  <si>
    <t>TPG</t>
  </si>
  <si>
    <t>Total Costs</t>
  </si>
  <si>
    <t>Bit3:</t>
  </si>
  <si>
    <t>15-101</t>
  </si>
  <si>
    <t>400-202</t>
  </si>
  <si>
    <t>both cards</t>
  </si>
  <si>
    <t>10m fiber</t>
  </si>
  <si>
    <t>128M dpram</t>
  </si>
  <si>
    <t>W-TEK</t>
  </si>
  <si>
    <t xml:space="preserve">CMS computer  </t>
  </si>
  <si>
    <t>"Aaron special"</t>
  </si>
  <si>
    <t>DKC misc</t>
  </si>
  <si>
    <t>Chip resistors</t>
  </si>
  <si>
    <t>Misc for HTR</t>
  </si>
  <si>
    <t>Parts for HTR</t>
  </si>
  <si>
    <t>CMS computer</t>
  </si>
  <si>
    <t>HTR boards</t>
  </si>
  <si>
    <t>TLK eval board</t>
  </si>
  <si>
    <t>Parts for emulator</t>
  </si>
  <si>
    <t>shipping</t>
  </si>
  <si>
    <t>JTAG</t>
  </si>
  <si>
    <t>Parallel IV cable</t>
  </si>
  <si>
    <t>50 dual LC</t>
  </si>
  <si>
    <t>25 TI TLK1501</t>
  </si>
  <si>
    <t>4/1/2002-4/30/2002</t>
  </si>
  <si>
    <t>Tullio 4/06</t>
  </si>
  <si>
    <t>Tullio 4/20</t>
  </si>
  <si>
    <t>Adarsh 4/6</t>
  </si>
  <si>
    <t>Adarsh 4/20</t>
  </si>
  <si>
    <t>Tullio 4/6  TIAA Optional</t>
  </si>
  <si>
    <t>Tullio 4/20 TIAA Optional</t>
  </si>
  <si>
    <t>Tullio Health Ins 4/6</t>
  </si>
  <si>
    <t>Tullio Health Ins 4/20</t>
  </si>
  <si>
    <t>Tullio Retiree 4/6</t>
  </si>
  <si>
    <t>Tullio Retiree 4/20</t>
  </si>
  <si>
    <t>9725 4/6 ENG</t>
  </si>
  <si>
    <t>9725 4/20 ENG</t>
  </si>
  <si>
    <t>TI prototype boards</t>
  </si>
  <si>
    <t>TI/Stratos test boards</t>
  </si>
  <si>
    <t>For month ending: 11/02</t>
  </si>
  <si>
    <t>Computer</t>
  </si>
  <si>
    <t>Misc parts for HTR</t>
  </si>
  <si>
    <t>Tullio 5/4</t>
  </si>
  <si>
    <t>Tullio 5/18</t>
  </si>
  <si>
    <t>Tullio 5/4  TIAA Optional</t>
  </si>
  <si>
    <t>Tullio 5/18 TIAA Optional</t>
  </si>
  <si>
    <t>Tullio Health Ins 5/4</t>
  </si>
  <si>
    <t>Tullio Health Ins 5/18</t>
  </si>
  <si>
    <t>Tullio Retiree 5/4</t>
  </si>
  <si>
    <t>Tullio Retiree 5/18</t>
  </si>
  <si>
    <t>Adarsh 5/4</t>
  </si>
  <si>
    <t>Adarsh 5/18</t>
  </si>
  <si>
    <t>SKUJA</t>
  </si>
  <si>
    <t>GRASSI</t>
  </si>
  <si>
    <t>9725 5/4 ENG</t>
  </si>
  <si>
    <t>9725 5/18 ENG</t>
  </si>
  <si>
    <t>5/1/2002-5/31/2002</t>
  </si>
  <si>
    <t>6/1/2002-6/30/2002</t>
  </si>
  <si>
    <t>Tullio end of year</t>
  </si>
  <si>
    <t>Ardash end of year</t>
  </si>
  <si>
    <t>CERN daSilva</t>
  </si>
  <si>
    <t>2705+2710+2711+2725+2770 Benefits</t>
  </si>
  <si>
    <t>2705 Tullio 6/1  TIAA Optional</t>
  </si>
  <si>
    <t>2710 Tullio Health Ins 6/1-6/15</t>
  </si>
  <si>
    <t>2711 Tullio Retiree 6/1-6/15</t>
  </si>
  <si>
    <t>2.1.5.14.2</t>
  </si>
  <si>
    <t>2.1.10.11.5</t>
  </si>
  <si>
    <t>Test BeamTRIDAS M&amp;S</t>
  </si>
  <si>
    <t>Teststands for Developmen/Maintenance-Maryland    </t>
  </si>
  <si>
    <t>Tullio 6/1 6/15 6/29</t>
  </si>
  <si>
    <t>Adarsh 6/1 6/15 6/29</t>
  </si>
  <si>
    <t>2725 Tullio SocSec 6/15 6/29 6/30</t>
  </si>
  <si>
    <t>2770 Tullio 6/15,29,30 unemply ins ?</t>
  </si>
  <si>
    <t>Natl RR PA</t>
  </si>
  <si>
    <t xml:space="preserve">CERN </t>
  </si>
  <si>
    <t>2705+2710+2711+2725+2770  Benefits</t>
  </si>
  <si>
    <t>6/19 Godinez</t>
  </si>
  <si>
    <t>parts for HTR</t>
  </si>
  <si>
    <t>9725 6/15 EDG</t>
  </si>
  <si>
    <t>SF</t>
  </si>
  <si>
    <t>CMS  Transportation</t>
  </si>
  <si>
    <t>CMS  SBS Bit3 cards</t>
  </si>
  <si>
    <t>HEP Salavat</t>
  </si>
  <si>
    <t>HEP Kunori Hostel</t>
  </si>
  <si>
    <t>DRIF Travel</t>
  </si>
  <si>
    <t>HEP ???</t>
  </si>
  <si>
    <t>CMS Computer Salavat</t>
  </si>
  <si>
    <t>3724 Salavat Computer</t>
  </si>
  <si>
    <t>9725 6/1 EDG</t>
  </si>
  <si>
    <t>9725 6/1 MDG</t>
  </si>
  <si>
    <t>3722 CERN</t>
  </si>
  <si>
    <t>3724 CERN</t>
  </si>
  <si>
    <t>9725 7/13 EDG</t>
  </si>
  <si>
    <t>8/1/2002-8/31/2002</t>
  </si>
  <si>
    <t>Tullio 8/10 8/24</t>
  </si>
  <si>
    <t>Adarsh 8/10 8/24</t>
  </si>
  <si>
    <t>2710 Tullio Health Ins 8/10 8/24</t>
  </si>
  <si>
    <t>2711 Tullio Retiree 8/10 8/24</t>
  </si>
  <si>
    <t>2725 Tullio SocSec 6/15 8/10 8/24</t>
  </si>
  <si>
    <t>2770 Tullio unemply ins 8/10 8/24</t>
  </si>
  <si>
    <t>DELTA AIR 8/14</t>
  </si>
  <si>
    <t>3952 Tektronix</t>
  </si>
  <si>
    <t>Megonigal 8/21 probe for new scope</t>
  </si>
  <si>
    <t>McQueen 8/27</t>
  </si>
  <si>
    <t>3952 to be credited next month…</t>
  </si>
  <si>
    <t>CMS S-Link cards</t>
  </si>
  <si>
    <t>2770  Benefits</t>
  </si>
  <si>
    <t>2705+2710+2711+2725  Benefits</t>
  </si>
  <si>
    <t>9725 7/27 MDG</t>
  </si>
  <si>
    <t>9725 7/27 EDG</t>
  </si>
  <si>
    <t>7/1/2002-7/31/2002</t>
  </si>
  <si>
    <t>Tullio from last month</t>
  </si>
  <si>
    <t>Tullio 7/13 7/27</t>
  </si>
  <si>
    <t>Adarsh 7/13 7/27</t>
  </si>
  <si>
    <t>Ardash from last month</t>
  </si>
  <si>
    <t>2710 Tullio Health Ins 7/13 7/27</t>
  </si>
  <si>
    <t>2711 Tullio Retiree 7/13 7/27</t>
  </si>
  <si>
    <t>2725 Tullio SocSec 7/13 7/27</t>
  </si>
  <si>
    <t>2770 Tullio 7/13 7/27</t>
  </si>
  <si>
    <t>9725 6/29 MDG</t>
  </si>
  <si>
    <t>9725 6/29 EDG</t>
  </si>
  <si>
    <t>Po Line #</t>
  </si>
  <si>
    <t>CE</t>
  </si>
  <si>
    <t>PO #</t>
  </si>
  <si>
    <t>WKPKG</t>
  </si>
  <si>
    <t>Item Description</t>
  </si>
  <si>
    <t>Vendor Name</t>
  </si>
  <si>
    <t>Gl Encumbered Date</t>
  </si>
  <si>
    <t>TOTAL OBLG</t>
  </si>
  <si>
    <t>AMT REMAINING</t>
  </si>
  <si>
    <t>Inv 33204-34 April</t>
  </si>
  <si>
    <t>Inv 33204-35 May</t>
  </si>
  <si>
    <t>Inv 33204-36 June</t>
  </si>
  <si>
    <t>Inv 33024- 38 August</t>
  </si>
  <si>
    <t>44</t>
  </si>
  <si>
    <t>509604</t>
  </si>
  <si>
    <t>4HKH</t>
  </si>
  <si>
    <t>TOTAL BOARDS</t>
  </si>
  <si>
    <t>$ Remaining</t>
  </si>
  <si>
    <t>DCC (HB) Module M&amp;S (10% Spares)</t>
  </si>
  <si>
    <t>Data Concentrator ( HO) M&amp;S (10% Spares)</t>
  </si>
  <si>
    <t>TOTAL VME Crates</t>
  </si>
  <si>
    <t>TOTAL DCC SHIPPING</t>
  </si>
  <si>
    <t xml:space="preserve">TOTAL DCC </t>
  </si>
  <si>
    <t>TOTAL HTR SHIPPING</t>
  </si>
  <si>
    <t xml:space="preserve">TOTAL HTR </t>
  </si>
  <si>
    <t>TOTAL RACKS</t>
  </si>
  <si>
    <t xml:space="preserve">TOTAL SLB </t>
  </si>
  <si>
    <t>TOTAL Fanout</t>
  </si>
  <si>
    <t>FANOUT CARD</t>
  </si>
  <si>
    <t>SHIP HTR</t>
  </si>
  <si>
    <t>SHIP DCC</t>
  </si>
  <si>
    <t>TPG CABLES</t>
  </si>
  <si>
    <t>SHIP FANOUT CARD</t>
  </si>
  <si>
    <t>VME CRATES</t>
  </si>
  <si>
    <t>VME RACKS</t>
  </si>
  <si>
    <t>TOTAL FANOUT SHIPPING</t>
  </si>
  <si>
    <t>MATERIALS</t>
  </si>
  <si>
    <t>ENGINEERING</t>
  </si>
  <si>
    <t xml:space="preserve"> VME Crates</t>
  </si>
  <si>
    <t xml:space="preserve"> VME Subracks Engineering Support</t>
  </si>
  <si>
    <t>Forward Calorimeter (HF)</t>
  </si>
  <si>
    <t>Crate Fanout Production Module M&amp;S (10% Spares)</t>
  </si>
  <si>
    <t>2.1.1.1 - BARREL EDIA.</t>
  </si>
  <si>
    <t>MARYLAND, UNIVERSITY OF</t>
  </si>
  <si>
    <t>2.1.10.4.3 - ACCELEROMETER (PPPI SHIPPING) EDIA AND M&amp;S.</t>
  </si>
  <si>
    <t>2.1.7 - TRIGGER/DAQ.</t>
  </si>
  <si>
    <t>43</t>
  </si>
  <si>
    <t>4HKD</t>
  </si>
  <si>
    <t>2.1.1.8.5 HCAL INSTALLATION INTEGRATION-FY97</t>
  </si>
  <si>
    <t>4H</t>
  </si>
  <si>
    <t>4HKG</t>
  </si>
  <si>
    <t>4HHD</t>
  </si>
  <si>
    <t>2.1.1.5.1.3 - BLDG PREP &amp; INFRASTRUCTURE</t>
  </si>
  <si>
    <t>4HHE</t>
  </si>
  <si>
    <t>4HHF</t>
  </si>
  <si>
    <t>4HHG</t>
  </si>
  <si>
    <t>2.1.1.8.6.9 - MARYLAND MGMT TRAVEL</t>
  </si>
  <si>
    <t>4HHH</t>
  </si>
  <si>
    <t>2.1.10.1.6.4 - MOUNT ACCELEROMETERS</t>
  </si>
  <si>
    <t>4HAR</t>
  </si>
  <si>
    <t>4HAU</t>
  </si>
  <si>
    <t>4HAV</t>
  </si>
  <si>
    <t>4HAW</t>
  </si>
  <si>
    <t>4HAX</t>
  </si>
  <si>
    <t>4HAY</t>
  </si>
  <si>
    <t>4J</t>
  </si>
  <si>
    <t>4HSS</t>
  </si>
  <si>
    <t>4HSX</t>
  </si>
  <si>
    <t>4HSY</t>
  </si>
  <si>
    <t>6HUT</t>
  </si>
  <si>
    <t>6HUU</t>
  </si>
  <si>
    <t>4HVO</t>
  </si>
  <si>
    <t>4HVP</t>
  </si>
  <si>
    <t>4HVQ</t>
  </si>
  <si>
    <t>4HVR</t>
  </si>
  <si>
    <t>4HVS</t>
  </si>
  <si>
    <t>4HVT</t>
  </si>
  <si>
    <t>4HVU</t>
  </si>
  <si>
    <t>4HVV</t>
  </si>
  <si>
    <t>4HVW</t>
  </si>
  <si>
    <t>Total: 961</t>
  </si>
  <si>
    <t>Invoice Total</t>
  </si>
  <si>
    <t>Inv 33204-37 July</t>
  </si>
  <si>
    <t>Additional Boards</t>
  </si>
  <si>
    <t>TOTAL COST</t>
  </si>
  <si>
    <t>Task Name</t>
  </si>
  <si>
    <t>% Work Complete</t>
  </si>
  <si>
    <t>2.1.7.1.1</t>
  </si>
  <si>
    <t>VME Readout Module Development</t>
  </si>
  <si>
    <t>HTR Production Module (9U, N=48ch)</t>
  </si>
  <si>
    <t>2.1.7.3.6.3</t>
  </si>
  <si>
    <t>Ship DCC Module to CERN</t>
  </si>
  <si>
    <t>Level 1 Trigger Links M&amp;S (20% Spares)</t>
  </si>
  <si>
    <t>HCAL Readout Control (Crate Fanout) Module</t>
  </si>
  <si>
    <t>Crate Fanout Specification Report</t>
  </si>
  <si>
    <t>Crate Fanout Demonstrator Module (6U VME)</t>
  </si>
  <si>
    <t>Crate Fanout Demonstrator Module Design &amp; Testing</t>
  </si>
  <si>
    <t>Crate Fanout Demonstrator Module M&amp;S</t>
  </si>
  <si>
    <t>Crate Fanout Prototype Module (9U VME)</t>
  </si>
  <si>
    <t>Crate Fanout Prototype Module Design &amp; Testing</t>
  </si>
  <si>
    <t>Crate Fanout Prototype Module M&amp;S</t>
  </si>
  <si>
    <t>Crate Fanout 2nd Prototype Module (9U VME)</t>
  </si>
  <si>
    <t>Crate Fanout Module Production</t>
  </si>
  <si>
    <t>Crate Fanout Production Module M&amp;S (20% Spares)</t>
  </si>
  <si>
    <t>Crate Fanout Production Module Engineering Support</t>
  </si>
  <si>
    <t>Ship Crate Fanout Production Module to CERN</t>
  </si>
  <si>
    <t>2.1.7.11.1.3</t>
  </si>
  <si>
    <t>Universal Tester Module Assembly</t>
  </si>
  <si>
    <t>2.1.7.11.1.4</t>
  </si>
  <si>
    <t>Universal Tester Module Evaluation</t>
  </si>
  <si>
    <t>2.1.7.11.2.3</t>
  </si>
  <si>
    <t>FEE Emulator Assembly</t>
  </si>
  <si>
    <t>2.1.7.11.2.4</t>
  </si>
  <si>
    <t>Crate Fanout Demo Tester</t>
  </si>
  <si>
    <t>Crate Fanout Demo Tester Design &amp; Testing</t>
  </si>
  <si>
    <t>Crate Fanout Demo Tester M&amp;S</t>
  </si>
  <si>
    <t>2.1.7.13.11</t>
  </si>
  <si>
    <t>WBS Expended</t>
  </si>
  <si>
    <t>From Hazen 11/02</t>
  </si>
  <si>
    <t>TRIDAS Engineering FY02,FY03 (Maryland)</t>
  </si>
  <si>
    <t>SLB Modules</t>
  </si>
  <si>
    <t>SLB Trigger Links M&amp;S (20% Spares)</t>
  </si>
  <si>
    <t>SLB Trigger Engineering</t>
  </si>
  <si>
    <t>SLB Trigger Links Transition Boards</t>
  </si>
  <si>
    <t>2.1.7.16</t>
  </si>
  <si>
    <t>Teststand equipment</t>
  </si>
  <si>
    <t>2.1.7.16.1</t>
  </si>
  <si>
    <t>CPUs</t>
  </si>
  <si>
    <t>2.1.7.16.2</t>
  </si>
  <si>
    <t>Oscilloscope</t>
  </si>
  <si>
    <t>Cost3</t>
  </si>
  <si>
    <t>FNAL</t>
  </si>
  <si>
    <t>Dual LC Optical-Electrical</t>
  </si>
  <si>
    <t>8-way Optical ports</t>
  </si>
  <si>
    <t>TLK2501 RX chips</t>
  </si>
  <si>
    <t>TTCrx</t>
  </si>
  <si>
    <t>Altera FPGA</t>
  </si>
  <si>
    <t>TTC mezzanine board</t>
  </si>
  <si>
    <t>Misc (buffers, connectors…)</t>
  </si>
  <si>
    <t>PCB</t>
  </si>
  <si>
    <t>Fab/Assembly</t>
  </si>
  <si>
    <t>Crystal</t>
  </si>
  <si>
    <t>Total for HTR</t>
  </si>
  <si>
    <t>Rack computer</t>
  </si>
  <si>
    <t>HTR (HB) Production Module M&amp;S (10% Spares)</t>
  </si>
  <si>
    <t>HTR (HE) Module M&amp;S (10% Spares)</t>
  </si>
  <si>
    <t>HTR (HO) Module M&amp;S (10% Spares)</t>
  </si>
  <si>
    <t>HTR (HF) Module M&amp;S (10% Spares)</t>
  </si>
  <si>
    <t>Current</t>
  </si>
  <si>
    <t>VME Crates (HB) (no spares)</t>
  </si>
  <si>
    <t>VME Relay Racks (HB) M&amp;S (no Spares)</t>
  </si>
  <si>
    <t>SLB Trigger Links Transition Boards (all)</t>
  </si>
  <si>
    <t>SLB Trigger Links (all) M&amp;S (20% Spares)</t>
  </si>
  <si>
    <t>VME Relay Racks (HO) M&amp;S</t>
  </si>
  <si>
    <t>BAC infl</t>
  </si>
  <si>
    <t>Level 1 Trigger Links M&amp;S (20% Spares) (HB)</t>
  </si>
  <si>
    <t>Level 1 Trigger Links M&amp;S (20% Spares) (HE)</t>
  </si>
  <si>
    <t>Level 1 Trigger Links M&amp;S (20% Spares) (HF)</t>
  </si>
  <si>
    <t>TOTAL TPG CABLES</t>
  </si>
  <si>
    <t>VME Crates (HO) M&amp;S</t>
  </si>
  <si>
    <t>Ship HTR Modules to CERN (HO)</t>
  </si>
  <si>
    <t>VME Relay Racks (HE) M&amp;S (no Spares)</t>
  </si>
  <si>
    <t>VME Relay Racks ( HF) M&amp;S (no Spares)</t>
  </si>
  <si>
    <t>Ship HTR Module to CERN (HE)</t>
  </si>
  <si>
    <t>VME Crates (HE) M&amp;S</t>
  </si>
  <si>
    <t>VME Crates (HF) M&amp;S</t>
  </si>
  <si>
    <t>2.5.7</t>
  </si>
  <si>
    <t>2.5.7.1</t>
  </si>
  <si>
    <t>2.5.7.1.1</t>
  </si>
  <si>
    <t>2.5.7.1.2</t>
  </si>
  <si>
    <t>2.5.7.1.3</t>
  </si>
  <si>
    <t>2.5.7.3</t>
  </si>
  <si>
    <t>2.5.7.3.1</t>
  </si>
  <si>
    <t>Data ConcentratorModule M&amp;S (20% Spares)</t>
  </si>
  <si>
    <t>2.5.7.3.2</t>
  </si>
  <si>
    <t>2.5.7.3.3</t>
  </si>
  <si>
    <t>2.5.7.3.4</t>
  </si>
  <si>
    <t>2.5.7.4</t>
  </si>
  <si>
    <t>2.5.7.4.1</t>
  </si>
  <si>
    <t>2.5.7.4.2</t>
  </si>
  <si>
    <t>2.5.7.4.3</t>
  </si>
  <si>
    <t>2.5.7.5</t>
  </si>
  <si>
    <t>2.5.7.6</t>
  </si>
  <si>
    <t>Spare Cards + Extra</t>
  </si>
  <si>
    <t>Spare Cards + Extra + Spare Parts</t>
  </si>
  <si>
    <t>Ship HTR Production Module to CERN (HB)</t>
  </si>
  <si>
    <t>Ship HTR Module to CERN (HF)</t>
  </si>
  <si>
    <t>SLB (for cal TPG)</t>
  </si>
  <si>
    <t>SLB (for muon bits)</t>
  </si>
  <si>
    <t>Muon fiber</t>
  </si>
  <si>
    <t>Level 1 Trigger Cables</t>
  </si>
  <si>
    <t>2.5.7.6.1</t>
  </si>
  <si>
    <t>2.5.7.6.2</t>
  </si>
  <si>
    <t>2.5.7.6.3</t>
  </si>
  <si>
    <t>2.5.7.7</t>
  </si>
  <si>
    <t>2.5.7.7.1</t>
  </si>
  <si>
    <t>2.5.7.7.2</t>
  </si>
  <si>
    <t>2.5.7.8</t>
  </si>
  <si>
    <t>2.5.7.8.1</t>
  </si>
  <si>
    <t>2.5.7.8.2</t>
  </si>
  <si>
    <t>2.5.7.8.3</t>
  </si>
  <si>
    <t>2.5.7.8.4</t>
  </si>
  <si>
    <t>2.3.7</t>
  </si>
  <si>
    <t>2.3.7.1</t>
  </si>
  <si>
    <t>2.3.7.1.1</t>
  </si>
  <si>
    <t>2.3.7.1.2</t>
  </si>
  <si>
    <t>2.3.7.1.3</t>
  </si>
  <si>
    <t>Ship HTR Module to CERN</t>
  </si>
  <si>
    <t>2.3.7.3</t>
  </si>
  <si>
    <t>2.3.7.3.1</t>
  </si>
  <si>
    <t>2.3.7.3.2</t>
  </si>
  <si>
    <t>2.3.7.3.3</t>
  </si>
  <si>
    <t>Ship Data Concentrator Module to CERN</t>
  </si>
  <si>
    <t>2.3.7.3.4</t>
  </si>
  <si>
    <t>2.3.7.4</t>
  </si>
  <si>
    <t>2.3.7.4.1</t>
  </si>
  <si>
    <t>2.3.7.4.2</t>
  </si>
  <si>
    <t>2.3.7.4.3</t>
  </si>
  <si>
    <t>Ship  VME Subracks to CERN (Zero Cost-Purchase in Europe)</t>
  </si>
  <si>
    <t>2.3.7.5</t>
  </si>
  <si>
    <t>2.3.7.6</t>
  </si>
  <si>
    <t>Level 1Trigger Links</t>
  </si>
  <si>
    <t>2.3.7.6.1</t>
  </si>
  <si>
    <t>2.3.7.6.2</t>
  </si>
  <si>
    <t>Level 1 Link Engineering Support</t>
  </si>
  <si>
    <t>2.3.7.6.3</t>
  </si>
  <si>
    <t>Ship Level 1 Link to CERN</t>
  </si>
  <si>
    <t>2.3.7.7</t>
  </si>
  <si>
    <t>2.3.7.7.1</t>
  </si>
  <si>
    <t>2.3.7.7.2</t>
  </si>
  <si>
    <t>Tullio Grassi</t>
  </si>
  <si>
    <t>Yearly based on 26 pay periods</t>
  </si>
  <si>
    <t>Boston Engineering</t>
  </si>
  <si>
    <t>Ardash</t>
  </si>
  <si>
    <t>Amount for 36 semester weeks</t>
  </si>
  <si>
    <t>Ship DAQ Link to CERN</t>
  </si>
  <si>
    <t>2.3.7.10</t>
  </si>
  <si>
    <t>2.3.7.10.1</t>
  </si>
  <si>
    <t>2.3.7.10.2</t>
  </si>
  <si>
    <t>2.3.7.10.3</t>
  </si>
  <si>
    <t>2.3.7.10.4</t>
  </si>
  <si>
    <t>2.5</t>
  </si>
  <si>
    <t>2.2</t>
  </si>
  <si>
    <t>Outer Barrel Calorimeter (HO)</t>
  </si>
  <si>
    <t>2.2.7</t>
  </si>
  <si>
    <t>2.2.7.1</t>
  </si>
  <si>
    <t>HTR Module Production</t>
  </si>
  <si>
    <t>2.2.7.1.1</t>
  </si>
  <si>
    <t>HTR Module M&amp;S (10% Spares)</t>
  </si>
  <si>
    <t>2.2.7.1.2</t>
  </si>
  <si>
    <t>HTR Module Engineering Support</t>
  </si>
  <si>
    <t>2.2.7.1.3</t>
  </si>
  <si>
    <t>Ship HTR Modules to CERN</t>
  </si>
  <si>
    <t>2.2.7.1.4</t>
  </si>
  <si>
    <t>2.2.7.3</t>
  </si>
  <si>
    <t>Data Concentrator Module Production</t>
  </si>
  <si>
    <t>2.2.7.3.1</t>
  </si>
  <si>
    <t>Data Concentrator M&amp;S (10% Spares)</t>
  </si>
  <si>
    <t>2.2.7.3.2</t>
  </si>
  <si>
    <t>Data Concentrator Module Engineering Support</t>
  </si>
  <si>
    <t>2.2.7.3.3</t>
  </si>
  <si>
    <t>Ship Data Concentrator Modules to CERN</t>
  </si>
  <si>
    <t>2.2.7.3.4</t>
  </si>
  <si>
    <t>2.2.7.4</t>
  </si>
  <si>
    <t>2.2.7.4.1</t>
  </si>
  <si>
    <t>VME Subracks M&amp;S</t>
  </si>
  <si>
    <t>2.2.7.4.2</t>
  </si>
  <si>
    <t>VME Subracks Engineering Support</t>
  </si>
  <si>
    <t>2.2.7.4.3</t>
  </si>
  <si>
    <t>Ship VME Subracks to CERN</t>
  </si>
  <si>
    <t>2.2.7.5</t>
  </si>
  <si>
    <t>VME Relay Racks M&amp;S</t>
  </si>
  <si>
    <t>2.2.7.7</t>
  </si>
  <si>
    <t>DAQ Links</t>
  </si>
  <si>
    <t>2.2.7.7.1</t>
  </si>
  <si>
    <t>DAQ Link M&amp;S</t>
  </si>
  <si>
    <t>2.2.7.7.2</t>
  </si>
  <si>
    <t>Ship DAQ Links to CERN</t>
  </si>
  <si>
    <t>2.2.7.8</t>
  </si>
  <si>
    <t>2.2.7.8.1</t>
  </si>
  <si>
    <t>2.2.7.8.2</t>
  </si>
  <si>
    <t>2.2.7.10</t>
  </si>
  <si>
    <t>2.2.7.10.1</t>
  </si>
  <si>
    <t>HRC Production Module M&amp;S (10% Spares)</t>
  </si>
  <si>
    <t>2.2.7.10.2</t>
  </si>
  <si>
    <t>2.2.7.10.3</t>
  </si>
  <si>
    <t>2.2.7.10.4</t>
  </si>
  <si>
    <t>2.3</t>
  </si>
  <si>
    <t>Endcap Hadron Calorimeter (HE)</t>
  </si>
  <si>
    <t>engineer - uic</t>
  </si>
  <si>
    <t>2.1.7</t>
  </si>
  <si>
    <t>Trigger/DAQ Electronics</t>
  </si>
  <si>
    <t>2.1.7.1</t>
  </si>
  <si>
    <t>HCAL Trigger Readout (HTR) Module</t>
  </si>
  <si>
    <t>HTR Module Requirements Report</t>
  </si>
  <si>
    <t>HTR Module Specification Report</t>
  </si>
  <si>
    <t>engineer3 - maryland</t>
  </si>
  <si>
    <t>HTR Demonstrator Module (6U, N=8ch)</t>
  </si>
  <si>
    <t>HTR Demonstrator Module Design &amp; Testing</t>
  </si>
  <si>
    <t>HTR Demonstrator Module M&amp;S</t>
  </si>
  <si>
    <t>HTR Prototype Module (9U, N=32ch)</t>
  </si>
  <si>
    <t>HTR Prototype Module Design &amp; Testing</t>
  </si>
  <si>
    <t>HTR Prototype Module M&amp;S</t>
  </si>
  <si>
    <t>HTR 2nd Prototype Module (9U, N=32ch)</t>
  </si>
  <si>
    <t>2nd HTR Prototype Module Design &amp; Testing</t>
  </si>
  <si>
    <t>2nd HTR Prototype Module M&amp;S</t>
  </si>
  <si>
    <t>HTR Production Module (9U, N=32ch)</t>
  </si>
  <si>
    <t>HTR Production Module M&amp;S (10% Spares)</t>
  </si>
  <si>
    <t>HTR Production Module Engineering Support</t>
  </si>
  <si>
    <t>Ship HTR Production Module to CERN</t>
  </si>
  <si>
    <t>Maryland-CERN Shipping Costs</t>
  </si>
  <si>
    <t>Spare Parts</t>
  </si>
  <si>
    <t>2.1.7.3</t>
  </si>
  <si>
    <t>Data Concentrator Card (DCC) Module</t>
  </si>
  <si>
    <t>2.1.7.3.1</t>
  </si>
  <si>
    <t>DCC Requirements Report</t>
  </si>
  <si>
    <t>2.1.7.3.2</t>
  </si>
  <si>
    <t>DCC Specification Report</t>
  </si>
  <si>
    <t>engineer - boston - FY97</t>
  </si>
  <si>
    <t>2.1.7.3.3</t>
  </si>
  <si>
    <t>DCC Demonstrator Module</t>
  </si>
  <si>
    <t>2.1.7.3.3.1</t>
  </si>
  <si>
    <t>DCC Demonstrator Module Design &amp; Testing</t>
  </si>
  <si>
    <t>engineer - boston - FY00</t>
  </si>
  <si>
    <t>technician - Boston - FY00</t>
  </si>
  <si>
    <t>2.1.7.3.3.2</t>
  </si>
  <si>
    <t>DCC Demonstrator Module M&amp;S</t>
  </si>
  <si>
    <t>2.1.7.3.4</t>
  </si>
  <si>
    <t>DCC Prototype Module (9U, N=18ch)</t>
  </si>
  <si>
    <t>2.1.7.3.4.1</t>
  </si>
  <si>
    <t>DCC Prototype Module Design &amp; Testing</t>
  </si>
  <si>
    <t>2.1.7.3.4.2</t>
  </si>
  <si>
    <t>DCC Prototype Module M&amp;S</t>
  </si>
  <si>
    <t>2.1.7.3.5</t>
  </si>
  <si>
    <t>DCC 2nd Prototype Module (9U, N=18ch)</t>
  </si>
  <si>
    <t>2.1.7.3.5.1</t>
  </si>
  <si>
    <t>2.1.7.3.5.2</t>
  </si>
  <si>
    <t>2.1.7.3.6</t>
  </si>
  <si>
    <t>DCC Module Production</t>
  </si>
  <si>
    <t>2.1.7.3.6.1</t>
  </si>
  <si>
    <t>DCC Module M&amp;S (10% Spares)</t>
  </si>
  <si>
    <t>2.1.7.3.6.2</t>
  </si>
  <si>
    <t>DCC Production Module Engineering Support</t>
  </si>
  <si>
    <t>2.1.7.3.6.4</t>
  </si>
  <si>
    <t>2.1.7.4</t>
  </si>
  <si>
    <t>VME Crates</t>
  </si>
  <si>
    <t>2.1.7.4.1</t>
  </si>
  <si>
    <t>VME Subrack M&amp;S</t>
  </si>
  <si>
    <t>VME Subracks Acquisition</t>
  </si>
  <si>
    <t>2.1.7.4.2</t>
  </si>
  <si>
    <t>VME Crates Engineering Support</t>
  </si>
  <si>
    <t>2.1.7.4.3</t>
  </si>
  <si>
    <t>Ship VME Crates to CERN (Zero Cost-Purchase in Europe)</t>
  </si>
  <si>
    <t>2.1.7.5</t>
  </si>
  <si>
    <t>VME Relay Racks</t>
  </si>
  <si>
    <t>2.1.7.5.1</t>
  </si>
  <si>
    <t>VME Relay Racks M&amp;S (no Spares)</t>
  </si>
  <si>
    <t>Trigger/DAQ Relay Racks</t>
  </si>
  <si>
    <t>2.1.7.5.2</t>
  </si>
  <si>
    <t>VME Relay Racks Engineering Support</t>
  </si>
  <si>
    <t>2.1.7.5.3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</si>
</sst>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&quot;$&quot;#,##0.00;[Red]&quot;$&quot;#,##0.00"/>
    <numFmt numFmtId="167" formatCode="&quot;$&quot;#,##0.000;[Red]&quot;$&quot;#,##0.0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mm/dd/yy"/>
    <numFmt numFmtId="174" formatCode="mmmm\-yy"/>
    <numFmt numFmtId="175" formatCode="&quot;$&quot;#,##0.00"/>
    <numFmt numFmtId="176" formatCode="mmm\-yyyy"/>
    <numFmt numFmtId="177" formatCode="&quot;$&quot;#,##0"/>
    <numFmt numFmtId="178" formatCode="m/d/yy"/>
    <numFmt numFmtId="179" formatCode="#,##0;[Red]\(#,##0\)"/>
    <numFmt numFmtId="180" formatCode="m\ /\ d\ /\ yy"/>
    <numFmt numFmtId="181" formatCode="0_);\(0\)"/>
    <numFmt numFmtId="182" formatCode="0.0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20"/>
      <name val="Arial"/>
      <family val="2"/>
    </font>
    <font>
      <b/>
      <sz val="21"/>
      <name val="Arial"/>
      <family val="2"/>
    </font>
    <font>
      <sz val="16.25"/>
      <name val="Arial"/>
      <family val="2"/>
    </font>
    <font>
      <b/>
      <sz val="34.25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2" fontId="6" fillId="0" borderId="0" xfId="0" applyNumberFormat="1" applyFont="1" applyFill="1" applyAlignment="1">
      <alignment/>
    </xf>
    <xf numFmtId="15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2" fontId="8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2" fontId="8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2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2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2" fontId="5" fillId="0" borderId="0" xfId="0" applyNumberFormat="1" applyFont="1" applyFill="1" applyAlignment="1">
      <alignment/>
    </xf>
    <xf numFmtId="1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indent="1"/>
    </xf>
    <xf numFmtId="0" fontId="8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2" fontId="9" fillId="0" borderId="0" xfId="0" applyNumberFormat="1" applyFont="1" applyAlignment="1">
      <alignment/>
    </xf>
    <xf numFmtId="1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3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Fill="1" applyAlignment="1">
      <alignment horizontal="left" indent="4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6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Fill="1" applyAlignment="1">
      <alignment horizontal="left" indent="2"/>
    </xf>
    <xf numFmtId="0" fontId="11" fillId="0" borderId="0" xfId="0" applyFont="1" applyAlignment="1">
      <alignment horizontal="left" indent="6"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Alignment="1">
      <alignment horizontal="left" indent="5"/>
    </xf>
    <xf numFmtId="0" fontId="5" fillId="0" borderId="0" xfId="0" applyFont="1" applyFill="1" applyAlignment="1">
      <alignment horizontal="left" indent="3"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8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166" fontId="0" fillId="0" borderId="1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horizontal="right"/>
    </xf>
    <xf numFmtId="173" fontId="0" fillId="0" borderId="5" xfId="0" applyNumberFormat="1" applyBorder="1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1" xfId="0" applyNumberFormat="1" applyBorder="1" applyAlignment="1">
      <alignment horizontal="right"/>
    </xf>
    <xf numFmtId="173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right"/>
    </xf>
    <xf numFmtId="175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left"/>
    </xf>
    <xf numFmtId="166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" fontId="0" fillId="0" borderId="0" xfId="0" applyNumberFormat="1" applyAlignment="1">
      <alignment/>
    </xf>
    <xf numFmtId="17" fontId="0" fillId="0" borderId="6" xfId="0" applyNumberFormat="1" applyBorder="1" applyAlignment="1">
      <alignment/>
    </xf>
    <xf numFmtId="17" fontId="0" fillId="0" borderId="7" xfId="0" applyNumberFormat="1" applyBorder="1" applyAlignment="1">
      <alignment/>
    </xf>
    <xf numFmtId="17" fontId="0" fillId="0" borderId="8" xfId="0" applyNumberFormat="1" applyBorder="1" applyAlignment="1">
      <alignment/>
    </xf>
    <xf numFmtId="17" fontId="0" fillId="0" borderId="9" xfId="0" applyNumberFormat="1" applyBorder="1" applyAlignment="1">
      <alignment/>
    </xf>
    <xf numFmtId="14" fontId="0" fillId="0" borderId="0" xfId="0" applyNumberForma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1" fillId="0" borderId="2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/>
    </xf>
    <xf numFmtId="175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75" fontId="0" fillId="0" borderId="5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16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17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5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6" fillId="0" borderId="0" xfId="0" applyNumberFormat="1" applyFont="1" applyFill="1" applyAlignment="1">
      <alignment/>
    </xf>
    <xf numFmtId="177" fontId="8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1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6" fillId="0" borderId="0" xfId="0" applyNumberFormat="1" applyFont="1" applyFill="1" applyAlignment="1">
      <alignment/>
    </xf>
    <xf numFmtId="175" fontId="8" fillId="0" borderId="0" xfId="0" applyNumberFormat="1" applyFont="1" applyAlignment="1">
      <alignment/>
    </xf>
    <xf numFmtId="175" fontId="5" fillId="0" borderId="0" xfId="0" applyNumberFormat="1" applyFont="1" applyAlignment="1">
      <alignment horizontal="left"/>
    </xf>
    <xf numFmtId="175" fontId="8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5" xfId="0" applyNumberFormat="1" applyBorder="1" applyAlignment="1">
      <alignment/>
    </xf>
    <xf numFmtId="8" fontId="0" fillId="0" borderId="16" xfId="0" applyNumberFormat="1" applyFont="1" applyBorder="1" applyAlignment="1" applyProtection="1">
      <alignment/>
      <protection locked="0"/>
    </xf>
    <xf numFmtId="177" fontId="0" fillId="0" borderId="1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17" fontId="0" fillId="0" borderId="5" xfId="0" applyNumberForma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8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8" fontId="6" fillId="0" borderId="0" xfId="0" applyNumberFormat="1" applyFont="1" applyAlignment="1" applyProtection="1">
      <alignment horizontal="right"/>
      <protection locked="0"/>
    </xf>
    <xf numFmtId="8" fontId="6" fillId="0" borderId="6" xfId="0" applyNumberFormat="1" applyFont="1" applyFill="1" applyBorder="1" applyAlignment="1" applyProtection="1">
      <alignment horizontal="right"/>
      <protection locked="0"/>
    </xf>
    <xf numFmtId="8" fontId="5" fillId="2" borderId="0" xfId="0" applyNumberFormat="1" applyFont="1" applyFill="1" applyAlignment="1" applyProtection="1">
      <alignment/>
      <protection locked="0"/>
    </xf>
    <xf numFmtId="8" fontId="5" fillId="0" borderId="16" xfId="0" applyNumberFormat="1" applyFont="1" applyFill="1" applyBorder="1" applyAlignment="1" applyProtection="1">
      <alignment/>
      <protection locked="0"/>
    </xf>
    <xf numFmtId="8" fontId="5" fillId="0" borderId="17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Alignment="1">
      <alignment/>
    </xf>
    <xf numFmtId="8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6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44" fontId="0" fillId="3" borderId="16" xfId="0" applyNumberFormat="1" applyFont="1" applyFill="1" applyBorder="1" applyAlignment="1">
      <alignment/>
    </xf>
    <xf numFmtId="44" fontId="0" fillId="3" borderId="12" xfId="0" applyNumberFormat="1" applyFont="1" applyFill="1" applyBorder="1" applyAlignment="1">
      <alignment/>
    </xf>
    <xf numFmtId="44" fontId="0" fillId="3" borderId="0" xfId="0" applyNumberFormat="1" applyFont="1" applyFill="1" applyBorder="1" applyAlignment="1">
      <alignment/>
    </xf>
    <xf numFmtId="44" fontId="0" fillId="3" borderId="13" xfId="0" applyNumberFormat="1" applyFont="1" applyFill="1" applyBorder="1" applyAlignment="1">
      <alignment/>
    </xf>
    <xf numFmtId="44" fontId="0" fillId="3" borderId="0" xfId="0" applyNumberFormat="1" applyFont="1" applyFill="1" applyAlignment="1">
      <alignment/>
    </xf>
    <xf numFmtId="0" fontId="0" fillId="3" borderId="16" xfId="0" applyFont="1" applyFill="1" applyBorder="1" applyAlignment="1">
      <alignment/>
    </xf>
    <xf numFmtId="8" fontId="0" fillId="3" borderId="1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175" fontId="0" fillId="3" borderId="0" xfId="0" applyNumberFormat="1" applyFont="1" applyFill="1" applyAlignment="1">
      <alignment/>
    </xf>
    <xf numFmtId="8" fontId="0" fillId="3" borderId="16" xfId="0" applyNumberFormat="1" applyFont="1" applyFill="1" applyBorder="1" applyAlignment="1" applyProtection="1">
      <alignment/>
      <protection locked="0"/>
    </xf>
    <xf numFmtId="0" fontId="0" fillId="3" borderId="13" xfId="0" applyFill="1" applyBorder="1" applyAlignment="1">
      <alignment/>
    </xf>
    <xf numFmtId="44" fontId="0" fillId="3" borderId="16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44" fontId="0" fillId="3" borderId="0" xfId="0" applyNumberFormat="1" applyFill="1" applyBorder="1" applyAlignment="1">
      <alignment/>
    </xf>
    <xf numFmtId="44" fontId="0" fillId="3" borderId="13" xfId="0" applyNumberFormat="1" applyFill="1" applyBorder="1" applyAlignment="1">
      <alignment/>
    </xf>
    <xf numFmtId="44" fontId="0" fillId="3" borderId="0" xfId="0" applyNumberFormat="1" applyFill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ill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4" fontId="22" fillId="0" borderId="0" xfId="0" applyNumberFormat="1" applyFont="1" applyFill="1" applyBorder="1" applyAlignment="1" applyProtection="1">
      <alignment horizontal="center" wrapText="1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4" fontId="22" fillId="0" borderId="20" xfId="0" applyNumberFormat="1" applyFont="1" applyFill="1" applyBorder="1" applyAlignment="1" applyProtection="1">
      <alignment wrapText="1"/>
      <protection/>
    </xf>
    <xf numFmtId="4" fontId="22" fillId="2" borderId="20" xfId="0" applyNumberFormat="1" applyFont="1" applyFill="1" applyBorder="1" applyAlignment="1" applyProtection="1">
      <alignment wrapText="1"/>
      <protection/>
    </xf>
    <xf numFmtId="0" fontId="23" fillId="0" borderId="0" xfId="0" applyNumberFormat="1" applyFill="1" applyBorder="1" applyAlignment="1" applyProtection="1">
      <alignment horizontal="center"/>
      <protection/>
    </xf>
    <xf numFmtId="0" fontId="23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15" fontId="0" fillId="0" borderId="0" xfId="0" applyNumberFormat="1" applyAlignment="1">
      <alignment/>
    </xf>
    <xf numFmtId="40" fontId="23" fillId="0" borderId="0" xfId="0" applyNumberFormat="1" applyFill="1" applyBorder="1" applyAlignment="1" applyProtection="1">
      <alignment/>
      <protection/>
    </xf>
    <xf numFmtId="40" fontId="23" fillId="2" borderId="0" xfId="0" applyNumberFormat="1" applyFill="1" applyBorder="1" applyAlignment="1" applyProtection="1">
      <alignment/>
      <protection/>
    </xf>
    <xf numFmtId="0" fontId="23" fillId="4" borderId="0" xfId="0" applyNumberFormat="1" applyFill="1" applyBorder="1" applyAlignment="1" applyProtection="1">
      <alignment horizontal="center"/>
      <protection/>
    </xf>
    <xf numFmtId="0" fontId="23" fillId="4" borderId="20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/>
      <protection/>
    </xf>
    <xf numFmtId="15" fontId="0" fillId="0" borderId="20" xfId="0" applyNumberFormat="1" applyFont="1" applyBorder="1" applyAlignment="1">
      <alignment/>
    </xf>
    <xf numFmtId="40" fontId="23" fillId="0" borderId="20" xfId="0" applyNumberFormat="1" applyFont="1" applyFill="1" applyBorder="1" applyAlignment="1" applyProtection="1">
      <alignment/>
      <protection/>
    </xf>
    <xf numFmtId="40" fontId="23" fillId="2" borderId="20" xfId="0" applyNumberFormat="1" applyFont="1" applyFill="1" applyBorder="1" applyAlignment="1" applyProtection="1">
      <alignment/>
      <protection/>
    </xf>
    <xf numFmtId="166" fontId="1" fillId="0" borderId="0" xfId="0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177" fontId="0" fillId="0" borderId="22" xfId="0" applyNumberFormat="1" applyBorder="1" applyAlignment="1">
      <alignment/>
    </xf>
    <xf numFmtId="0" fontId="0" fillId="0" borderId="5" xfId="0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5" xfId="0" applyBorder="1" applyAlignment="1">
      <alignment horizontal="left" indent="2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 horizontal="left" indent="1"/>
    </xf>
    <xf numFmtId="177" fontId="0" fillId="0" borderId="21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22" xfId="0" applyBorder="1" applyAlignment="1">
      <alignment/>
    </xf>
    <xf numFmtId="0" fontId="0" fillId="0" borderId="19" xfId="0" applyBorder="1" applyAlignment="1">
      <alignment horizontal="left" indent="2"/>
    </xf>
    <xf numFmtId="3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6" fontId="0" fillId="0" borderId="20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0" fontId="25" fillId="0" borderId="4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179" fontId="0" fillId="0" borderId="22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5" xfId="0" applyNumberFormat="1" applyBorder="1" applyAlignment="1">
      <alignment horizontal="left"/>
    </xf>
    <xf numFmtId="180" fontId="0" fillId="0" borderId="10" xfId="0" applyNumberFormat="1" applyBorder="1" applyAlignment="1">
      <alignment horizontal="left"/>
    </xf>
    <xf numFmtId="179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right"/>
    </xf>
    <xf numFmtId="0" fontId="1" fillId="0" borderId="5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" fillId="0" borderId="4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179" fontId="1" fillId="0" borderId="22" xfId="0" applyNumberFormat="1" applyFont="1" applyBorder="1" applyAlignment="1">
      <alignment horizontal="right" wrapText="1"/>
    </xf>
    <xf numFmtId="179" fontId="1" fillId="0" borderId="22" xfId="0" applyNumberFormat="1" applyFont="1" applyBorder="1" applyAlignment="1">
      <alignment horizontal="center" wrapText="1"/>
    </xf>
    <xf numFmtId="178" fontId="1" fillId="0" borderId="22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26" fillId="0" borderId="23" xfId="0" applyNumberFormat="1" applyFont="1" applyBorder="1" applyAlignment="1">
      <alignment horizontal="left"/>
    </xf>
    <xf numFmtId="0" fontId="26" fillId="0" borderId="24" xfId="0" applyNumberFormat="1" applyFont="1" applyBorder="1" applyAlignment="1">
      <alignment horizontal="left"/>
    </xf>
    <xf numFmtId="179" fontId="26" fillId="0" borderId="25" xfId="0" applyNumberFormat="1" applyFont="1" applyBorder="1" applyAlignment="1">
      <alignment horizontal="right"/>
    </xf>
    <xf numFmtId="178" fontId="26" fillId="0" borderId="25" xfId="0" applyNumberFormat="1" applyFont="1" applyBorder="1" applyAlignment="1">
      <alignment horizontal="right"/>
    </xf>
    <xf numFmtId="0" fontId="26" fillId="0" borderId="24" xfId="0" applyNumberFormat="1" applyFont="1" applyBorder="1" applyAlignment="1">
      <alignment horizontal="right"/>
    </xf>
    <xf numFmtId="0" fontId="26" fillId="0" borderId="26" xfId="0" applyNumberFormat="1" applyFont="1" applyBorder="1" applyAlignment="1">
      <alignment horizontal="left" indent="1"/>
    </xf>
    <xf numFmtId="0" fontId="26" fillId="0" borderId="27" xfId="0" applyNumberFormat="1" applyFont="1" applyBorder="1" applyAlignment="1">
      <alignment horizontal="left" indent="1"/>
    </xf>
    <xf numFmtId="179" fontId="26" fillId="0" borderId="28" xfId="0" applyNumberFormat="1" applyFont="1" applyBorder="1" applyAlignment="1">
      <alignment horizontal="right"/>
    </xf>
    <xf numFmtId="178" fontId="26" fillId="0" borderId="28" xfId="0" applyNumberFormat="1" applyFont="1" applyBorder="1" applyAlignment="1">
      <alignment horizontal="right"/>
    </xf>
    <xf numFmtId="0" fontId="26" fillId="0" borderId="27" xfId="0" applyNumberFormat="1" applyFont="1" applyBorder="1" applyAlignment="1">
      <alignment horizontal="right"/>
    </xf>
    <xf numFmtId="0" fontId="2" fillId="5" borderId="26" xfId="0" applyNumberFormat="1" applyFont="1" applyFill="1" applyBorder="1" applyAlignment="1">
      <alignment horizontal="left" indent="2"/>
    </xf>
    <xf numFmtId="0" fontId="2" fillId="5" borderId="27" xfId="0" applyNumberFormat="1" applyFont="1" applyFill="1" applyBorder="1" applyAlignment="1">
      <alignment horizontal="left" indent="2"/>
    </xf>
    <xf numFmtId="179" fontId="2" fillId="5" borderId="28" xfId="0" applyNumberFormat="1" applyFont="1" applyFill="1" applyBorder="1" applyAlignment="1">
      <alignment horizontal="right"/>
    </xf>
    <xf numFmtId="178" fontId="2" fillId="5" borderId="28" xfId="0" applyNumberFormat="1" applyFont="1" applyFill="1" applyBorder="1" applyAlignment="1">
      <alignment horizontal="right"/>
    </xf>
    <xf numFmtId="0" fontId="2" fillId="5" borderId="27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left" indent="3"/>
    </xf>
    <xf numFmtId="0" fontId="2" fillId="0" borderId="27" xfId="0" applyNumberFormat="1" applyFont="1" applyBorder="1" applyAlignment="1">
      <alignment horizontal="left" indent="3"/>
    </xf>
    <xf numFmtId="179" fontId="2" fillId="0" borderId="28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left" indent="4"/>
    </xf>
    <xf numFmtId="0" fontId="0" fillId="0" borderId="27" xfId="0" applyNumberFormat="1" applyFont="1" applyBorder="1" applyAlignment="1">
      <alignment horizontal="left" indent="4"/>
    </xf>
    <xf numFmtId="179" fontId="0" fillId="0" borderId="28" xfId="0" applyNumberFormat="1" applyFont="1" applyBorder="1" applyAlignment="1">
      <alignment horizontal="right"/>
    </xf>
    <xf numFmtId="178" fontId="0" fillId="0" borderId="28" xfId="0" applyNumberFormat="1" applyFont="1" applyBorder="1" applyAlignment="1">
      <alignment horizontal="right"/>
    </xf>
    <xf numFmtId="0" fontId="0" fillId="6" borderId="27" xfId="0" applyNumberFormat="1" applyFont="1" applyFill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left" indent="4"/>
    </xf>
    <xf numFmtId="0" fontId="2" fillId="0" borderId="27" xfId="0" applyNumberFormat="1" applyFont="1" applyBorder="1" applyAlignment="1">
      <alignment horizontal="left" indent="4"/>
    </xf>
    <xf numFmtId="0" fontId="0" fillId="0" borderId="26" xfId="0" applyNumberFormat="1" applyFont="1" applyBorder="1" applyAlignment="1">
      <alignment horizontal="left" indent="5"/>
    </xf>
    <xf numFmtId="0" fontId="0" fillId="0" borderId="27" xfId="0" applyNumberFormat="1" applyFont="1" applyBorder="1" applyAlignment="1">
      <alignment horizontal="left" indent="5"/>
    </xf>
    <xf numFmtId="0" fontId="0" fillId="7" borderId="27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left" indent="5"/>
    </xf>
    <xf numFmtId="0" fontId="2" fillId="0" borderId="27" xfId="0" applyNumberFormat="1" applyFont="1" applyBorder="1" applyAlignment="1">
      <alignment horizontal="left" indent="5"/>
    </xf>
    <xf numFmtId="0" fontId="0" fillId="0" borderId="26" xfId="0" applyNumberFormat="1" applyFont="1" applyBorder="1" applyAlignment="1">
      <alignment horizontal="left" indent="6"/>
    </xf>
    <xf numFmtId="0" fontId="0" fillId="0" borderId="27" xfId="0" applyNumberFormat="1" applyFont="1" applyBorder="1" applyAlignment="1">
      <alignment horizontal="left" indent="6"/>
    </xf>
    <xf numFmtId="0" fontId="2" fillId="6" borderId="27" xfId="0" applyNumberFormat="1" applyFont="1" applyFill="1" applyBorder="1" applyAlignment="1">
      <alignment horizontal="right"/>
    </xf>
    <xf numFmtId="0" fontId="0" fillId="0" borderId="26" xfId="0" applyNumberFormat="1" applyFont="1" applyBorder="1" applyAlignment="1">
      <alignment horizontal="left" indent="3"/>
    </xf>
    <xf numFmtId="0" fontId="0" fillId="0" borderId="27" xfId="0" applyNumberFormat="1" applyFont="1" applyBorder="1" applyAlignment="1">
      <alignment horizontal="left" indent="3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179" fontId="0" fillId="8" borderId="28" xfId="0" applyNumberFormat="1" applyFont="1" applyFill="1" applyBorder="1" applyAlignment="1">
      <alignment horizontal="right"/>
    </xf>
    <xf numFmtId="178" fontId="0" fillId="8" borderId="28" xfId="0" applyNumberFormat="1" applyFont="1" applyFill="1" applyBorder="1" applyAlignment="1">
      <alignment horizontal="right"/>
    </xf>
    <xf numFmtId="0" fontId="0" fillId="8" borderId="27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26" xfId="0" applyNumberFormat="1" applyFont="1" applyFill="1" applyBorder="1" applyAlignment="1">
      <alignment horizontal="left" indent="6"/>
    </xf>
    <xf numFmtId="0" fontId="0" fillId="8" borderId="27" xfId="0" applyNumberFormat="1" applyFont="1" applyFill="1" applyBorder="1" applyAlignment="1">
      <alignment horizontal="left" indent="6"/>
    </xf>
    <xf numFmtId="177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7" fontId="0" fillId="7" borderId="0" xfId="0" applyNumberFormat="1" applyFont="1" applyFill="1" applyAlignment="1">
      <alignment/>
    </xf>
    <xf numFmtId="9" fontId="0" fillId="7" borderId="0" xfId="0" applyNumberFormat="1" applyFont="1" applyFill="1" applyAlignment="1">
      <alignment/>
    </xf>
    <xf numFmtId="177" fontId="0" fillId="7" borderId="0" xfId="0" applyNumberFormat="1" applyFont="1" applyFill="1" applyAlignment="1">
      <alignment/>
    </xf>
    <xf numFmtId="177" fontId="0" fillId="7" borderId="0" xfId="0" applyNumberFormat="1" applyFont="1" applyFill="1" applyBorder="1" applyAlignment="1" applyProtection="1">
      <alignment/>
      <protection locked="0"/>
    </xf>
    <xf numFmtId="6" fontId="1" fillId="0" borderId="0" xfId="0" applyNumberFormat="1" applyFont="1" applyFill="1" applyAlignment="1">
      <alignment/>
    </xf>
    <xf numFmtId="6" fontId="0" fillId="7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6" fontId="0" fillId="0" borderId="22" xfId="0" applyNumberForma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6" fontId="0" fillId="0" borderId="10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9" fontId="0" fillId="0" borderId="22" xfId="0" applyNumberFormat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0" borderId="11" xfId="0" applyBorder="1" applyAlignment="1">
      <alignment/>
    </xf>
    <xf numFmtId="5" fontId="0" fillId="0" borderId="0" xfId="0" applyNumberFormat="1" applyAlignment="1">
      <alignment/>
    </xf>
    <xf numFmtId="177" fontId="0" fillId="0" borderId="5" xfId="0" applyNumberFormat="1" applyFont="1" applyBorder="1" applyAlignment="1">
      <alignment horizontal="right"/>
    </xf>
    <xf numFmtId="177" fontId="22" fillId="0" borderId="0" xfId="0" applyNumberFormat="1" applyFont="1" applyFill="1" applyBorder="1" applyAlignment="1" applyProtection="1">
      <alignment wrapText="1"/>
      <protection/>
    </xf>
    <xf numFmtId="177" fontId="23" fillId="0" borderId="0" xfId="0" applyNumberFormat="1" applyFill="1" applyBorder="1" applyAlignment="1" applyProtection="1">
      <alignment/>
      <protection/>
    </xf>
    <xf numFmtId="175" fontId="22" fillId="10" borderId="11" xfId="0" applyNumberFormat="1" applyFont="1" applyFill="1" applyBorder="1" applyAlignment="1" applyProtection="1">
      <alignment wrapText="1"/>
      <protection/>
    </xf>
    <xf numFmtId="175" fontId="22" fillId="10" borderId="2" xfId="0" applyNumberFormat="1" applyFont="1" applyFill="1" applyBorder="1" applyAlignment="1" applyProtection="1">
      <alignment wrapText="1"/>
      <protection/>
    </xf>
    <xf numFmtId="175" fontId="22" fillId="10" borderId="20" xfId="0" applyNumberFormat="1" applyFont="1" applyFill="1" applyBorder="1" applyAlignment="1" applyProtection="1">
      <alignment wrapText="1"/>
      <protection/>
    </xf>
    <xf numFmtId="175" fontId="23" fillId="10" borderId="10" xfId="0" applyNumberFormat="1" applyFill="1" applyBorder="1" applyAlignment="1" applyProtection="1">
      <alignment/>
      <protection/>
    </xf>
    <xf numFmtId="175" fontId="23" fillId="10" borderId="1" xfId="0" applyNumberFormat="1" applyFill="1" applyBorder="1" applyAlignment="1" applyProtection="1">
      <alignment/>
      <protection/>
    </xf>
    <xf numFmtId="175" fontId="23" fillId="10" borderId="0" xfId="0" applyNumberFormat="1" applyFill="1" applyBorder="1" applyAlignment="1" applyProtection="1">
      <alignment/>
      <protection/>
    </xf>
    <xf numFmtId="175" fontId="23" fillId="10" borderId="11" xfId="0" applyNumberFormat="1" applyFont="1" applyFill="1" applyBorder="1" applyAlignment="1" applyProtection="1">
      <alignment/>
      <protection/>
    </xf>
    <xf numFmtId="175" fontId="23" fillId="10" borderId="2" xfId="0" applyNumberFormat="1" applyFont="1" applyFill="1" applyBorder="1" applyAlignment="1" applyProtection="1">
      <alignment/>
      <protection/>
    </xf>
    <xf numFmtId="175" fontId="23" fillId="10" borderId="20" xfId="0" applyNumberFormat="1" applyFont="1" applyFill="1" applyBorder="1" applyAlignment="1" applyProtection="1">
      <alignment/>
      <protection/>
    </xf>
    <xf numFmtId="175" fontId="23" fillId="0" borderId="10" xfId="0" applyNumberFormat="1" applyFill="1" applyBorder="1" applyAlignment="1" applyProtection="1">
      <alignment/>
      <protection/>
    </xf>
    <xf numFmtId="175" fontId="23" fillId="0" borderId="1" xfId="0" applyNumberFormat="1" applyFill="1" applyBorder="1" applyAlignment="1" applyProtection="1">
      <alignment/>
      <protection/>
    </xf>
    <xf numFmtId="175" fontId="23" fillId="0" borderId="0" xfId="0" applyNumberFormat="1" applyFill="1" applyBorder="1" applyAlignment="1" applyProtection="1">
      <alignment/>
      <protection/>
    </xf>
    <xf numFmtId="175" fontId="24" fillId="0" borderId="10" xfId="0" applyNumberFormat="1" applyFont="1" applyFill="1" applyBorder="1" applyAlignment="1" applyProtection="1">
      <alignment horizontal="right"/>
      <protection/>
    </xf>
    <xf numFmtId="175" fontId="24" fillId="0" borderId="1" xfId="0" applyNumberFormat="1" applyFont="1" applyFill="1" applyBorder="1" applyAlignment="1" applyProtection="1">
      <alignment horizontal="right"/>
      <protection/>
    </xf>
    <xf numFmtId="175" fontId="2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77" fontId="23" fillId="0" borderId="16" xfId="0" applyNumberFormat="1" applyFill="1" applyBorder="1" applyAlignment="1" applyProtection="1">
      <alignment/>
      <protection/>
    </xf>
    <xf numFmtId="177" fontId="0" fillId="0" borderId="10" xfId="0" applyNumberFormat="1" applyFont="1" applyBorder="1" applyAlignment="1">
      <alignment horizontal="right"/>
    </xf>
    <xf numFmtId="177" fontId="0" fillId="0" borderId="5" xfId="0" applyNumberForma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5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2" fontId="0" fillId="0" borderId="0" xfId="0" applyNumberFormat="1" applyFont="1" applyBorder="1" applyAlignment="1">
      <alignment horizontal="right"/>
    </xf>
    <xf numFmtId="42" fontId="0" fillId="0" borderId="0" xfId="0" applyNumberFormat="1" applyFill="1" applyBorder="1" applyAlignment="1">
      <alignment/>
    </xf>
    <xf numFmtId="42" fontId="0" fillId="0" borderId="10" xfId="0" applyNumberFormat="1" applyFill="1" applyBorder="1" applyAlignment="1">
      <alignment/>
    </xf>
    <xf numFmtId="42" fontId="0" fillId="0" borderId="20" xfId="0" applyNumberFormat="1" applyFill="1" applyBorder="1" applyAlignment="1">
      <alignment/>
    </xf>
    <xf numFmtId="42" fontId="0" fillId="0" borderId="11" xfId="0" applyNumberFormat="1" applyFill="1" applyBorder="1" applyAlignment="1">
      <alignment/>
    </xf>
    <xf numFmtId="42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42" fontId="0" fillId="0" borderId="21" xfId="0" applyNumberFormat="1" applyFill="1" applyBorder="1" applyAlignment="1">
      <alignment/>
    </xf>
    <xf numFmtId="42" fontId="0" fillId="0" borderId="22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26" fillId="0" borderId="0" xfId="0" applyFont="1" applyAlignment="1">
      <alignment/>
    </xf>
    <xf numFmtId="16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75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2" borderId="0" xfId="0" applyNumberFormat="1" applyFont="1" applyFill="1" applyAlignment="1" applyProtection="1">
      <alignment horizontal="right" wrapText="1"/>
      <protection locked="0"/>
    </xf>
    <xf numFmtId="0" fontId="0" fillId="2" borderId="0" xfId="0" applyFill="1" applyAlignment="1">
      <alignment wrapText="1"/>
    </xf>
    <xf numFmtId="173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chartsheet" Target="chartsheets/sheet1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8925"/>
          <c:w val="0.924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'Engineering Data'!$C$4</c:f>
              <c:strCache>
                <c:ptCount val="1"/>
                <c:pt idx="0">
                  <c:v>UMD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'Engineering Data'!$B$5:$B$9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'Engineering Data'!$C$5:$C$9</c:f>
              <c:numCache>
                <c:ptCount val="5"/>
                <c:pt idx="0">
                  <c:v>75</c:v>
                </c:pt>
                <c:pt idx="1">
                  <c:v>370</c:v>
                </c:pt>
                <c:pt idx="2">
                  <c:v>300</c:v>
                </c:pt>
                <c:pt idx="3">
                  <c:v>200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'Engineering Data'!$D$4</c:f>
              <c:strCache>
                <c:ptCount val="1"/>
                <c:pt idx="0">
                  <c:v>BU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'Engineering Data'!$B$5:$B$9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'Engineering Data'!$D$5:$D$9</c:f>
              <c:numCache>
                <c:ptCount val="5"/>
                <c:pt idx="0">
                  <c:v>60</c:v>
                </c:pt>
                <c:pt idx="1">
                  <c:v>185</c:v>
                </c:pt>
                <c:pt idx="2">
                  <c:v>155</c:v>
                </c:pt>
                <c:pt idx="3">
                  <c:v>90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'Engineering Data'!$E$4</c:f>
              <c:strCache>
                <c:ptCount val="1"/>
                <c:pt idx="0">
                  <c:v>UIC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'Engineering Data'!$B$5:$B$9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'Engineering Data'!$E$5:$E$9</c:f>
              <c:numCache>
                <c:ptCount val="5"/>
                <c:pt idx="0">
                  <c:v>30</c:v>
                </c:pt>
                <c:pt idx="1">
                  <c:v>120</c:v>
                </c:pt>
                <c:pt idx="2">
                  <c:v>105</c:v>
                </c:pt>
                <c:pt idx="3">
                  <c:v>120</c:v>
                </c:pt>
                <c:pt idx="4">
                  <c:v>10</c:v>
                </c:pt>
              </c:numCache>
            </c:numRef>
          </c:val>
        </c:ser>
        <c:overlap val="50"/>
        <c:gapWidth val="20"/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158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15975"/>
          <c:w val="0.14075"/>
          <c:h val="0.2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0.0115</cdr:y>
    </cdr:from>
    <cdr:to>
      <cdr:x>0.80025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85725"/>
          <a:ext cx="5705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4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Engineering Resources</a:t>
          </a:r>
        </a:p>
      </cdr:txBody>
    </cdr:sp>
  </cdr:relSizeAnchor>
  <cdr:relSizeAnchor xmlns:cdr="http://schemas.openxmlformats.org/drawingml/2006/chartDrawing">
    <cdr:from>
      <cdr:x>0</cdr:x>
      <cdr:y>0.379</cdr:y>
    </cdr:from>
    <cdr:to>
      <cdr:x>0.07375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952750"/>
          <a:ext cx="885825" cy="1676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Days</a:t>
          </a:r>
        </a:p>
      </cdr:txBody>
    </cdr:sp>
  </cdr:relSizeAnchor>
  <cdr:relSizeAnchor xmlns:cdr="http://schemas.openxmlformats.org/drawingml/2006/chartDrawing">
    <cdr:from>
      <cdr:x>0.46875</cdr:x>
      <cdr:y>0.92675</cdr:y>
    </cdr:from>
    <cdr:to>
      <cdr:x>0.66375</cdr:x>
      <cdr:y>0.98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7219950"/>
          <a:ext cx="2343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Calendar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791450"/>
    <xdr:graphicFrame>
      <xdr:nvGraphicFramePr>
        <xdr:cNvPr id="1" name="Shape 1025"/>
        <xdr:cNvGraphicFramePr/>
      </xdr:nvGraphicFramePr>
      <xdr:xfrm>
        <a:off x="0" y="0"/>
        <a:ext cx="1201102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5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55"/>
  <sheetViews>
    <sheetView workbookViewId="0" topLeftCell="A4">
      <selection activeCell="E30" sqref="E30:E5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3" ht="12.75">
      <c r="A2" t="s">
        <v>392</v>
      </c>
      <c r="B2" t="s">
        <v>454</v>
      </c>
      <c r="C2"/>
    </row>
    <row r="3" spans="1:3" ht="12.75">
      <c r="A3" t="s">
        <v>394</v>
      </c>
      <c r="B3">
        <v>509604</v>
      </c>
      <c r="C3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2:5" ht="12.75">
      <c r="B6" s="105"/>
      <c r="E6" s="2"/>
    </row>
    <row r="7" spans="1:5" ht="12.75">
      <c r="A7" t="s">
        <v>594</v>
      </c>
      <c r="B7" s="105">
        <v>3507.43</v>
      </c>
      <c r="E7" s="2"/>
    </row>
    <row r="8" spans="2:5" ht="12.75" outlineLevel="1">
      <c r="B8" s="105"/>
      <c r="C8" s="136">
        <v>113.62</v>
      </c>
      <c r="D8" t="s">
        <v>599</v>
      </c>
      <c r="E8" s="2" t="s">
        <v>70</v>
      </c>
    </row>
    <row r="9" spans="2:5" ht="12.75" outlineLevel="1">
      <c r="B9" s="105"/>
      <c r="C9" s="151">
        <v>1457</v>
      </c>
      <c r="D9" t="s">
        <v>595</v>
      </c>
      <c r="E9" s="2" t="s">
        <v>68</v>
      </c>
    </row>
    <row r="10" spans="2:5" ht="12.75" outlineLevel="1">
      <c r="B10" s="105"/>
      <c r="C10" s="151">
        <v>874.2</v>
      </c>
      <c r="D10" t="s">
        <v>596</v>
      </c>
      <c r="E10" s="2" t="s">
        <v>68</v>
      </c>
    </row>
    <row r="11" spans="2:5" ht="12.75" outlineLevel="1">
      <c r="B11" s="105"/>
      <c r="C11" s="140">
        <v>504.74</v>
      </c>
      <c r="D11" t="s">
        <v>597</v>
      </c>
      <c r="E11" s="2" t="s">
        <v>68</v>
      </c>
    </row>
    <row r="12" spans="2:5" ht="12.75" outlineLevel="1">
      <c r="B12" s="105"/>
      <c r="C12" s="140">
        <v>557.87</v>
      </c>
      <c r="D12" t="s">
        <v>598</v>
      </c>
      <c r="E12" s="2" t="s">
        <v>68</v>
      </c>
    </row>
    <row r="13" spans="2:5" ht="12.75" outlineLevel="1">
      <c r="B13" s="105"/>
      <c r="C13" s="136">
        <f>SUM(C8:C12)</f>
        <v>3507.4299999999994</v>
      </c>
      <c r="E13" s="2"/>
    </row>
    <row r="14" spans="1:5" ht="12.75">
      <c r="A14" t="s">
        <v>368</v>
      </c>
      <c r="B14" s="105">
        <f>SUM(B7:B13)</f>
        <v>3507.43</v>
      </c>
      <c r="E14" s="2"/>
    </row>
    <row r="15" spans="2:5" ht="12.75">
      <c r="B15" s="105"/>
      <c r="E15" s="2"/>
    </row>
    <row r="16" spans="1:5" ht="12.75">
      <c r="A16" t="s">
        <v>413</v>
      </c>
      <c r="B16" s="105">
        <f>B14</f>
        <v>3507.43</v>
      </c>
      <c r="E16" s="2"/>
    </row>
    <row r="17" spans="2:5" ht="12.75">
      <c r="B17" s="105"/>
      <c r="E17" s="2"/>
    </row>
    <row r="18" spans="1:5" ht="12.75">
      <c r="A18" t="s">
        <v>414</v>
      </c>
      <c r="B18" s="105">
        <v>0</v>
      </c>
      <c r="E18" s="2"/>
    </row>
    <row r="19" spans="1:2" ht="12.75">
      <c r="A19" t="s">
        <v>415</v>
      </c>
      <c r="B19" s="105">
        <f>B18+B16</f>
        <v>3507.43</v>
      </c>
    </row>
    <row r="20" ht="12.75">
      <c r="B20" s="105"/>
    </row>
    <row r="21" spans="1:2" ht="12.75">
      <c r="A21" t="s">
        <v>416</v>
      </c>
      <c r="B21" s="105">
        <v>0</v>
      </c>
    </row>
    <row r="22" ht="12.75">
      <c r="B22" s="105"/>
    </row>
    <row r="23" spans="1:2" ht="12.75">
      <c r="A23" t="s">
        <v>417</v>
      </c>
      <c r="B23" s="105">
        <f>B19-B21</f>
        <v>3507.43</v>
      </c>
    </row>
    <row r="25" ht="12.75">
      <c r="A25" s="2"/>
    </row>
    <row r="26" spans="1:3" ht="12.75">
      <c r="A26" s="2"/>
      <c r="C26" s="2"/>
    </row>
    <row r="27" spans="2:3" ht="12.75">
      <c r="B27" s="136"/>
      <c r="C27" s="2"/>
    </row>
    <row r="28" spans="2:3" ht="12.75">
      <c r="B28" s="136"/>
      <c r="C28" s="2"/>
    </row>
    <row r="29" spans="2:3" ht="12.75">
      <c r="B29" s="136"/>
      <c r="C29"/>
    </row>
    <row r="30" spans="2:5" ht="12.75">
      <c r="B30" s="136"/>
      <c r="C30" s="271" t="s">
        <v>429</v>
      </c>
      <c r="D30" s="271" t="s">
        <v>1024</v>
      </c>
      <c r="E30" s="136"/>
    </row>
    <row r="31" spans="2:5" ht="12.75">
      <c r="B31" s="136"/>
      <c r="C31" s="271" t="s">
        <v>370</v>
      </c>
      <c r="D31" s="271" t="s">
        <v>367</v>
      </c>
      <c r="E31" s="136"/>
    </row>
    <row r="32" spans="2:5" ht="12.75">
      <c r="B32" s="136"/>
      <c r="C32" s="271" t="s">
        <v>182</v>
      </c>
      <c r="D32" s="271" t="s">
        <v>855</v>
      </c>
      <c r="E32" s="136"/>
    </row>
    <row r="33" spans="3:5" ht="12.75">
      <c r="C33" s="271" t="s">
        <v>187</v>
      </c>
      <c r="D33" s="293" t="s">
        <v>1779</v>
      </c>
      <c r="E33" s="136"/>
    </row>
    <row r="34" spans="3:5" ht="12.75">
      <c r="C34" s="271" t="s">
        <v>189</v>
      </c>
      <c r="D34" s="271" t="s">
        <v>851</v>
      </c>
      <c r="E34" s="136"/>
    </row>
    <row r="35" spans="3:5" ht="12.75">
      <c r="C35" s="200" t="s">
        <v>190</v>
      </c>
      <c r="D35" s="200" t="s">
        <v>852</v>
      </c>
      <c r="E35" s="136"/>
    </row>
    <row r="36" spans="3:5" ht="12.75">
      <c r="C36" s="271" t="s">
        <v>192</v>
      </c>
      <c r="D36" s="271" t="s">
        <v>1025</v>
      </c>
      <c r="E36" s="136"/>
    </row>
    <row r="37" spans="3:5" ht="12.75">
      <c r="C37" s="271" t="s">
        <v>193</v>
      </c>
      <c r="D37" s="200" t="s">
        <v>1026</v>
      </c>
      <c r="E37" s="136"/>
    </row>
    <row r="38" spans="3:5" ht="12.75">
      <c r="C38" s="271" t="s">
        <v>195</v>
      </c>
      <c r="D38" s="271" t="s">
        <v>1029</v>
      </c>
      <c r="E38" s="136"/>
    </row>
    <row r="39" spans="3:5" ht="12.75">
      <c r="C39" s="271" t="s">
        <v>196</v>
      </c>
      <c r="D39" s="200" t="s">
        <v>1030</v>
      </c>
      <c r="E39" s="136"/>
    </row>
    <row r="40" spans="3:5" ht="12.75">
      <c r="C40" s="271" t="s">
        <v>198</v>
      </c>
      <c r="D40" s="200" t="s">
        <v>1099</v>
      </c>
      <c r="E40" s="136"/>
    </row>
    <row r="41" spans="3:5" ht="12.75">
      <c r="C41" s="271" t="s">
        <v>199</v>
      </c>
      <c r="D41" s="271" t="s">
        <v>1100</v>
      </c>
      <c r="E41" s="136"/>
    </row>
    <row r="42" spans="3:5" ht="12.75">
      <c r="C42" s="271" t="s">
        <v>200</v>
      </c>
      <c r="D42" s="200" t="s">
        <v>1101</v>
      </c>
      <c r="E42" s="136"/>
    </row>
    <row r="43" spans="3:5" ht="12.75">
      <c r="C43" s="271" t="s">
        <v>17</v>
      </c>
      <c r="D43" s="200" t="s">
        <v>18</v>
      </c>
      <c r="E43" s="136"/>
    </row>
    <row r="44" spans="3:5" ht="12.75">
      <c r="C44" s="271" t="s">
        <v>60</v>
      </c>
      <c r="D44" s="271" t="s">
        <v>847</v>
      </c>
      <c r="E44" s="136"/>
    </row>
    <row r="45" spans="3:5" ht="12.75">
      <c r="C45" s="200" t="s">
        <v>62</v>
      </c>
      <c r="D45" s="200" t="s">
        <v>848</v>
      </c>
      <c r="E45" s="136"/>
    </row>
    <row r="46" spans="3:5" ht="12.75">
      <c r="C46" s="200" t="s">
        <v>64</v>
      </c>
      <c r="D46" s="200" t="s">
        <v>853</v>
      </c>
      <c r="E46" s="136"/>
    </row>
    <row r="47" spans="3:5" ht="12.75">
      <c r="C47" s="271" t="s">
        <v>68</v>
      </c>
      <c r="D47" s="271" t="s">
        <v>849</v>
      </c>
      <c r="E47" s="136">
        <f>C9+C10+C11+C12</f>
        <v>3393.8099999999995</v>
      </c>
    </row>
    <row r="48" spans="3:5" ht="12.75">
      <c r="C48" s="271" t="s">
        <v>70</v>
      </c>
      <c r="D48" s="200" t="s">
        <v>850</v>
      </c>
      <c r="E48" s="136">
        <f>C8</f>
        <v>113.62</v>
      </c>
    </row>
    <row r="49" spans="3:5" ht="12.75">
      <c r="C49" s="271" t="s">
        <v>89</v>
      </c>
      <c r="D49" s="200" t="s">
        <v>854</v>
      </c>
      <c r="E49" s="136"/>
    </row>
    <row r="50" spans="3:5" ht="12.75">
      <c r="C50" s="200" t="s">
        <v>124</v>
      </c>
      <c r="D50" s="200" t="s">
        <v>846</v>
      </c>
      <c r="E50" s="136"/>
    </row>
    <row r="51" spans="3:5" ht="12.75">
      <c r="C51" s="200" t="s">
        <v>1033</v>
      </c>
      <c r="D51" s="200" t="s">
        <v>1102</v>
      </c>
      <c r="E51" s="136"/>
    </row>
    <row r="52" spans="3:5" ht="12.75">
      <c r="C52" s="200" t="s">
        <v>1062</v>
      </c>
      <c r="D52" s="200" t="s">
        <v>1103</v>
      </c>
      <c r="E52" s="136"/>
    </row>
    <row r="53" spans="3:5" ht="12.75">
      <c r="C53" s="200" t="s">
        <v>1104</v>
      </c>
      <c r="D53" s="200" t="s">
        <v>1105</v>
      </c>
      <c r="E53" s="136"/>
    </row>
    <row r="54" spans="3:5" ht="12.75">
      <c r="C54" s="294"/>
      <c r="D54" s="200" t="s">
        <v>237</v>
      </c>
      <c r="E54" s="136">
        <f>SUM(E30:E53)</f>
        <v>3507.4299999999994</v>
      </c>
    </row>
    <row r="55" spans="4:5" ht="12.75">
      <c r="D55" s="200" t="s">
        <v>1106</v>
      </c>
      <c r="E55" s="136">
        <f>E54-B23</f>
        <v>0</v>
      </c>
    </row>
  </sheetData>
  <printOptions/>
  <pageMargins left="0.75" right="0.75" top="1" bottom="1" header="0.5" footer="0.5"/>
  <pageSetup horizontalDpi="204" verticalDpi="20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outlinePr summaryBelow="0"/>
  </sheetPr>
  <dimension ref="A2:E68"/>
  <sheetViews>
    <sheetView workbookViewId="0" topLeftCell="A4">
      <selection activeCell="E17" sqref="E1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393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05">
        <v>4065.76</v>
      </c>
    </row>
    <row r="7" spans="2:5" ht="12.75" outlineLevel="1">
      <c r="B7" s="105"/>
      <c r="C7" s="136">
        <v>2032.88</v>
      </c>
      <c r="D7" t="s">
        <v>418</v>
      </c>
      <c r="E7" s="2" t="s">
        <v>124</v>
      </c>
    </row>
    <row r="8" spans="2:5" ht="12.75" outlineLevel="1">
      <c r="B8" s="105"/>
      <c r="C8" s="136">
        <v>2032.88</v>
      </c>
      <c r="D8" t="s">
        <v>419</v>
      </c>
      <c r="E8" s="2" t="s">
        <v>124</v>
      </c>
    </row>
    <row r="9" spans="2:5" ht="12.75" outlineLevel="1">
      <c r="B9" s="105"/>
      <c r="C9" s="136">
        <f>SUM(C7:C8)</f>
        <v>4065.76</v>
      </c>
      <c r="D9" t="s">
        <v>358</v>
      </c>
      <c r="E9" s="2"/>
    </row>
    <row r="10" spans="1:2" ht="12.75">
      <c r="A10" t="s">
        <v>499</v>
      </c>
      <c r="B10" s="105">
        <v>1240.14</v>
      </c>
    </row>
    <row r="11" spans="2:5" ht="12.75" outlineLevel="1">
      <c r="B11" s="105"/>
      <c r="C11" s="136">
        <v>620.07</v>
      </c>
      <c r="D11" t="s">
        <v>437</v>
      </c>
      <c r="E11" s="2" t="s">
        <v>189</v>
      </c>
    </row>
    <row r="12" spans="2:5" ht="12.75" outlineLevel="1">
      <c r="B12" s="105"/>
      <c r="C12" s="136">
        <v>620.07</v>
      </c>
      <c r="D12" t="s">
        <v>438</v>
      </c>
      <c r="E12" s="2" t="s">
        <v>189</v>
      </c>
    </row>
    <row r="13" spans="2:5" ht="12.75" outlineLevel="1">
      <c r="B13" s="105"/>
      <c r="C13" s="136">
        <f>SUM(C11:C12)</f>
        <v>1240.14</v>
      </c>
      <c r="D13" t="s">
        <v>358</v>
      </c>
      <c r="E13" s="2"/>
    </row>
    <row r="14" spans="1:5" ht="12.75">
      <c r="A14" t="s">
        <v>500</v>
      </c>
      <c r="B14" s="105">
        <v>657.46</v>
      </c>
      <c r="E14" s="2"/>
    </row>
    <row r="15" spans="2:5" ht="12.75" outlineLevel="1">
      <c r="B15" s="105"/>
      <c r="C15" s="136">
        <v>192.13</v>
      </c>
      <c r="D15" t="s">
        <v>420</v>
      </c>
      <c r="E15" s="2" t="s">
        <v>124</v>
      </c>
    </row>
    <row r="16" spans="2:5" ht="12.75" outlineLevel="1">
      <c r="B16" s="105"/>
      <c r="C16" s="136">
        <v>192.13</v>
      </c>
      <c r="D16" t="s">
        <v>421</v>
      </c>
      <c r="E16" s="2" t="s">
        <v>124</v>
      </c>
    </row>
    <row r="17" spans="2:5" ht="12.75" outlineLevel="1">
      <c r="B17" s="105"/>
      <c r="C17" s="136">
        <v>119.24</v>
      </c>
      <c r="D17" t="s">
        <v>424</v>
      </c>
      <c r="E17" s="2" t="s">
        <v>189</v>
      </c>
    </row>
    <row r="18" spans="2:5" ht="12.75" outlineLevel="1">
      <c r="B18" s="105"/>
      <c r="C18" s="136">
        <v>119.24</v>
      </c>
      <c r="D18" t="s">
        <v>425</v>
      </c>
      <c r="E18" s="2" t="s">
        <v>189</v>
      </c>
    </row>
    <row r="19" spans="2:5" ht="12.75" outlineLevel="1">
      <c r="B19" s="105"/>
      <c r="C19" s="136">
        <v>17.36</v>
      </c>
      <c r="D19" t="s">
        <v>422</v>
      </c>
      <c r="E19" s="2" t="s">
        <v>124</v>
      </c>
    </row>
    <row r="20" spans="2:5" ht="12.75" outlineLevel="1">
      <c r="B20" s="105"/>
      <c r="C20" s="136">
        <v>17.36</v>
      </c>
      <c r="D20" t="s">
        <v>423</v>
      </c>
      <c r="E20" s="2" t="s">
        <v>124</v>
      </c>
    </row>
    <row r="21" spans="2:5" ht="12.75" outlineLevel="1">
      <c r="B21" s="105"/>
      <c r="C21" s="136">
        <f>SUM(C15:C20)</f>
        <v>657.46</v>
      </c>
      <c r="D21" t="s">
        <v>358</v>
      </c>
      <c r="E21" s="2"/>
    </row>
    <row r="22" spans="1:5" ht="12.75">
      <c r="A22" t="s">
        <v>592</v>
      </c>
      <c r="B22" s="105">
        <v>640</v>
      </c>
      <c r="E22" s="2"/>
    </row>
    <row r="23" spans="2:5" ht="12.75" outlineLevel="1">
      <c r="B23" s="105"/>
      <c r="C23" s="136">
        <v>640</v>
      </c>
      <c r="D23" t="s">
        <v>427</v>
      </c>
      <c r="E23" s="2" t="s">
        <v>62</v>
      </c>
    </row>
    <row r="24" spans="1:5" ht="12.75">
      <c r="A24" t="s">
        <v>503</v>
      </c>
      <c r="B24" s="105">
        <v>0</v>
      </c>
      <c r="E24" s="2"/>
    </row>
    <row r="25" spans="1:5" ht="12.75">
      <c r="A25" t="s">
        <v>504</v>
      </c>
      <c r="B25" s="105">
        <v>1402.19</v>
      </c>
      <c r="E25" s="2"/>
    </row>
    <row r="26" spans="2:5" ht="12.75" outlineLevel="1">
      <c r="B26" s="105"/>
      <c r="C26" s="136">
        <v>1402.19</v>
      </c>
      <c r="D26" t="s">
        <v>428</v>
      </c>
      <c r="E26" s="2" t="s">
        <v>370</v>
      </c>
    </row>
    <row r="27" spans="2:5" ht="12.75">
      <c r="B27" s="105"/>
      <c r="E27" s="2"/>
    </row>
    <row r="29" spans="1:5" ht="12.75">
      <c r="A29" t="s">
        <v>439</v>
      </c>
      <c r="B29" s="105">
        <f>SUM(B6:B27)</f>
        <v>8005.550000000001</v>
      </c>
      <c r="E29" s="2"/>
    </row>
    <row r="30" spans="2:5" ht="12.75">
      <c r="B30" s="105"/>
      <c r="E30" s="2"/>
    </row>
    <row r="31" spans="1:5" ht="12.75">
      <c r="A31" t="s">
        <v>507</v>
      </c>
      <c r="B31" s="105">
        <v>3842.664</v>
      </c>
      <c r="E31" s="2"/>
    </row>
    <row r="32" spans="2:5" ht="12.75" outlineLevel="1">
      <c r="B32" s="105"/>
      <c r="C32" s="136">
        <f>$B$4*C9</f>
        <v>1951.5648</v>
      </c>
      <c r="D32" t="s">
        <v>591</v>
      </c>
      <c r="E32" s="2" t="s">
        <v>124</v>
      </c>
    </row>
    <row r="33" spans="2:5" ht="12.75" outlineLevel="1">
      <c r="B33" s="105"/>
      <c r="C33" s="136">
        <f>$B$4*C13</f>
        <v>595.2672</v>
      </c>
      <c r="D33" t="s">
        <v>499</v>
      </c>
      <c r="E33" s="2" t="s">
        <v>124</v>
      </c>
    </row>
    <row r="34" spans="2:5" ht="12.75" outlineLevel="1">
      <c r="B34" s="105"/>
      <c r="C34" s="136">
        <f>$B$4*C21</f>
        <v>315.5808</v>
      </c>
      <c r="D34" t="s">
        <v>500</v>
      </c>
      <c r="E34" s="2" t="s">
        <v>189</v>
      </c>
    </row>
    <row r="35" spans="2:5" ht="12.75" outlineLevel="1">
      <c r="B35" s="105"/>
      <c r="C35" s="136">
        <f>$B$4*C23</f>
        <v>307.2</v>
      </c>
      <c r="D35" t="s">
        <v>592</v>
      </c>
      <c r="E35" s="2" t="s">
        <v>189</v>
      </c>
    </row>
    <row r="36" spans="2:5" ht="12.75" outlineLevel="1">
      <c r="B36" s="105"/>
      <c r="C36" s="136">
        <f>$B$4*C26</f>
        <v>673.0512</v>
      </c>
      <c r="D36" t="s">
        <v>504</v>
      </c>
      <c r="E36" s="2" t="s">
        <v>370</v>
      </c>
    </row>
    <row r="37" spans="2:3" ht="12.75" outlineLevel="1">
      <c r="B37" s="105"/>
      <c r="C37" s="136">
        <f>SUM(C32:C36)</f>
        <v>3842.664</v>
      </c>
    </row>
    <row r="38" spans="1:2" ht="12.75">
      <c r="A38" t="s">
        <v>509</v>
      </c>
      <c r="B38" s="105">
        <f>B29+B31</f>
        <v>11848.214000000002</v>
      </c>
    </row>
    <row r="39" ht="12.75">
      <c r="B39" s="105"/>
    </row>
    <row r="40" spans="1:5" ht="12.75">
      <c r="A40" t="s">
        <v>593</v>
      </c>
      <c r="B40" s="105">
        <v>20241.08</v>
      </c>
      <c r="E40" s="2"/>
    </row>
    <row r="41" spans="2:5" ht="12.75" outlineLevel="1">
      <c r="B41" s="105"/>
      <c r="C41" s="136">
        <v>3529.41</v>
      </c>
      <c r="D41" t="s">
        <v>430</v>
      </c>
      <c r="E41" s="2" t="s">
        <v>429</v>
      </c>
    </row>
    <row r="42" spans="2:5" ht="12.75" outlineLevel="1">
      <c r="B42" s="105"/>
      <c r="C42" s="136">
        <v>3511.76</v>
      </c>
      <c r="D42" t="s">
        <v>431</v>
      </c>
      <c r="E42" s="2" t="s">
        <v>429</v>
      </c>
    </row>
    <row r="43" spans="2:5" ht="12.75" outlineLevel="1">
      <c r="B43" s="105"/>
      <c r="C43" s="136">
        <v>218.24</v>
      </c>
      <c r="D43" t="s">
        <v>432</v>
      </c>
      <c r="E43" s="2" t="s">
        <v>370</v>
      </c>
    </row>
    <row r="44" spans="2:5" ht="12.75" outlineLevel="1">
      <c r="B44" s="105"/>
      <c r="C44" s="136">
        <v>2352.94</v>
      </c>
      <c r="D44" t="s">
        <v>433</v>
      </c>
      <c r="E44" s="2" t="s">
        <v>124</v>
      </c>
    </row>
    <row r="45" spans="2:5" ht="12.75" outlineLevel="1">
      <c r="B45" s="105"/>
      <c r="C45" s="136">
        <v>2395.21</v>
      </c>
      <c r="D45" t="s">
        <v>433</v>
      </c>
      <c r="E45" s="2" t="s">
        <v>124</v>
      </c>
    </row>
    <row r="46" spans="2:5" ht="12.75" outlineLevel="1">
      <c r="B46" s="105"/>
      <c r="C46" s="136">
        <v>4790.42</v>
      </c>
      <c r="D46" t="s">
        <v>434</v>
      </c>
      <c r="E46" s="2" t="s">
        <v>124</v>
      </c>
    </row>
    <row r="47" spans="2:5" ht="12.75" outlineLevel="1">
      <c r="B47" s="105"/>
      <c r="C47" s="136">
        <v>2395.2</v>
      </c>
      <c r="D47" t="s">
        <v>433</v>
      </c>
      <c r="E47" s="2" t="s">
        <v>124</v>
      </c>
    </row>
    <row r="48" spans="2:5" ht="12.75" outlineLevel="1">
      <c r="B48" s="105"/>
      <c r="C48" s="136">
        <v>1047.9</v>
      </c>
      <c r="D48" t="s">
        <v>436</v>
      </c>
      <c r="E48" s="2" t="s">
        <v>64</v>
      </c>
    </row>
    <row r="49" spans="2:5" ht="12.75" outlineLevel="1">
      <c r="B49" s="105"/>
      <c r="C49" s="136">
        <f>SUM(C41:C48)</f>
        <v>20241.080000000005</v>
      </c>
      <c r="E49" s="2"/>
    </row>
    <row r="50" spans="1:5" ht="12.75">
      <c r="A50" t="s">
        <v>396</v>
      </c>
      <c r="B50" s="105">
        <v>293.34</v>
      </c>
      <c r="E50" s="2"/>
    </row>
    <row r="51" spans="2:5" ht="12.75" outlineLevel="1">
      <c r="B51" s="105"/>
      <c r="C51" s="105">
        <v>293.34</v>
      </c>
      <c r="D51" t="s">
        <v>426</v>
      </c>
      <c r="E51" s="2" t="s">
        <v>70</v>
      </c>
    </row>
    <row r="52" spans="1:5" ht="12.75">
      <c r="A52" t="s">
        <v>368</v>
      </c>
      <c r="B52" s="105">
        <f>B40+B50</f>
        <v>20534.420000000002</v>
      </c>
      <c r="C52" s="105"/>
      <c r="E52" s="2"/>
    </row>
    <row r="53" spans="2:5" ht="12.75">
      <c r="B53" s="105"/>
      <c r="C53" s="105"/>
      <c r="E53" s="2"/>
    </row>
    <row r="54" spans="1:2" ht="12.75">
      <c r="A54" t="s">
        <v>415</v>
      </c>
      <c r="B54" s="105">
        <f>B52+B38</f>
        <v>32382.634000000005</v>
      </c>
    </row>
    <row r="55" ht="12.75">
      <c r="B55" s="105"/>
    </row>
    <row r="56" spans="1:2" ht="12.75">
      <c r="A56" t="s">
        <v>416</v>
      </c>
      <c r="B56" s="105">
        <v>0</v>
      </c>
    </row>
    <row r="57" ht="12.75">
      <c r="B57" s="105"/>
    </row>
    <row r="58" spans="1:2" ht="12.75">
      <c r="A58" t="s">
        <v>417</v>
      </c>
      <c r="B58" s="105">
        <f>B54-B56</f>
        <v>32382.634000000005</v>
      </c>
    </row>
    <row r="61" spans="1:2" ht="12.75">
      <c r="A61" t="s">
        <v>429</v>
      </c>
      <c r="B61" s="136">
        <f>C41+C42</f>
        <v>7041.17</v>
      </c>
    </row>
    <row r="62" spans="1:2" ht="12.75">
      <c r="A62" t="s">
        <v>370</v>
      </c>
      <c r="B62" s="136">
        <f>C43+C26+C36</f>
        <v>2293.4812</v>
      </c>
    </row>
    <row r="63" spans="1:2" ht="12.75">
      <c r="A63" s="2" t="s">
        <v>189</v>
      </c>
      <c r="B63" s="136">
        <f>C35+C34+C18+C17+C12+C11</f>
        <v>2101.4008000000003</v>
      </c>
    </row>
    <row r="64" spans="1:2" ht="12.75">
      <c r="A64" t="s">
        <v>62</v>
      </c>
      <c r="B64" s="136">
        <f>C23</f>
        <v>640</v>
      </c>
    </row>
    <row r="65" spans="1:2" ht="12.75">
      <c r="A65" t="s">
        <v>64</v>
      </c>
      <c r="B65" s="136">
        <f>C48</f>
        <v>1047.9</v>
      </c>
    </row>
    <row r="66" spans="1:2" ht="12.75">
      <c r="A66" t="s">
        <v>70</v>
      </c>
      <c r="B66" s="105">
        <f>C51</f>
        <v>293.34</v>
      </c>
    </row>
    <row r="67" spans="1:2" ht="12.75">
      <c r="A67" t="s">
        <v>124</v>
      </c>
      <c r="B67" s="136">
        <f>SUM(C44:C47)+C32+C33+C19+C20+C7+C8+C15+C16</f>
        <v>18965.342000000004</v>
      </c>
    </row>
    <row r="68" ht="12.75">
      <c r="B68" s="136">
        <f>SUM(B61:B67)</f>
        <v>32382.634000000005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outlinePr summaryBelow="0"/>
  </sheetPr>
  <dimension ref="A2:F73"/>
  <sheetViews>
    <sheetView workbookViewId="0" topLeftCell="A13">
      <selection activeCell="E54" sqref="E54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642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05">
        <v>4089</v>
      </c>
    </row>
    <row r="7" spans="2:5" ht="12.75" outlineLevel="1">
      <c r="B7" s="105"/>
      <c r="C7" s="136">
        <v>2032.88</v>
      </c>
      <c r="D7" t="s">
        <v>643</v>
      </c>
      <c r="E7" s="2" t="s">
        <v>124</v>
      </c>
    </row>
    <row r="8" spans="2:5" ht="12.75" outlineLevel="1">
      <c r="B8" s="105"/>
      <c r="C8" s="136">
        <v>2056.12</v>
      </c>
      <c r="D8" t="s">
        <v>644</v>
      </c>
      <c r="E8" s="2" t="s">
        <v>124</v>
      </c>
    </row>
    <row r="9" spans="2:5" ht="12.75" outlineLevel="1">
      <c r="B9" s="105"/>
      <c r="C9" s="136">
        <f>SUM(C7:C8)</f>
        <v>4089</v>
      </c>
      <c r="D9" t="s">
        <v>358</v>
      </c>
      <c r="E9" s="2"/>
    </row>
    <row r="10" spans="1:2" ht="12.75">
      <c r="A10" t="s">
        <v>499</v>
      </c>
      <c r="B10" s="105">
        <v>1240.14</v>
      </c>
    </row>
    <row r="11" spans="2:5" ht="12.75" outlineLevel="1">
      <c r="B11" s="105"/>
      <c r="C11" s="136">
        <v>620.07</v>
      </c>
      <c r="D11" t="s">
        <v>645</v>
      </c>
      <c r="E11" s="2" t="s">
        <v>189</v>
      </c>
    </row>
    <row r="12" spans="2:5" ht="12.75" outlineLevel="1">
      <c r="B12" s="105"/>
      <c r="C12" s="136">
        <v>620.07</v>
      </c>
      <c r="D12" t="s">
        <v>646</v>
      </c>
      <c r="E12" s="2" t="s">
        <v>189</v>
      </c>
    </row>
    <row r="13" spans="2:5" ht="12.75" outlineLevel="1">
      <c r="B13" s="105"/>
      <c r="C13" s="136">
        <f>SUM(C11:C12)</f>
        <v>1240.14</v>
      </c>
      <c r="D13" t="s">
        <v>358</v>
      </c>
      <c r="E13" s="2"/>
    </row>
    <row r="14" spans="1:5" ht="12.75">
      <c r="A14" t="s">
        <v>500</v>
      </c>
      <c r="B14" s="105">
        <v>665.14</v>
      </c>
      <c r="E14" s="2"/>
    </row>
    <row r="15" spans="2:5" ht="12.75" outlineLevel="1">
      <c r="B15" s="105"/>
      <c r="C15" s="136">
        <v>192.13</v>
      </c>
      <c r="D15" t="s">
        <v>647</v>
      </c>
      <c r="E15" s="2" t="s">
        <v>124</v>
      </c>
    </row>
    <row r="16" spans="2:5" ht="12.75" outlineLevel="1">
      <c r="B16" s="105"/>
      <c r="C16" s="136">
        <v>199.81</v>
      </c>
      <c r="D16" t="s">
        <v>648</v>
      </c>
      <c r="E16" s="2" t="s">
        <v>124</v>
      </c>
    </row>
    <row r="17" spans="2:5" ht="12.75" outlineLevel="1">
      <c r="B17" s="105"/>
      <c r="C17" s="136">
        <v>119.24</v>
      </c>
      <c r="D17" t="s">
        <v>649</v>
      </c>
      <c r="E17" s="2" t="s">
        <v>189</v>
      </c>
    </row>
    <row r="18" spans="2:5" ht="12.75" outlineLevel="1">
      <c r="B18" s="105"/>
      <c r="C18" s="136">
        <v>119.24</v>
      </c>
      <c r="D18" t="s">
        <v>650</v>
      </c>
      <c r="E18" s="2" t="s">
        <v>189</v>
      </c>
    </row>
    <row r="19" spans="2:5" ht="12.75" outlineLevel="1">
      <c r="B19" s="105"/>
      <c r="C19" s="136">
        <v>17.36</v>
      </c>
      <c r="D19" t="s">
        <v>651</v>
      </c>
      <c r="E19" s="2" t="s">
        <v>124</v>
      </c>
    </row>
    <row r="20" spans="2:5" ht="12.75" outlineLevel="1">
      <c r="B20" s="105"/>
      <c r="C20" s="136">
        <v>17.36</v>
      </c>
      <c r="D20" t="s">
        <v>652</v>
      </c>
      <c r="E20" s="2" t="s">
        <v>124</v>
      </c>
    </row>
    <row r="21" spans="2:5" ht="12.75" outlineLevel="1">
      <c r="B21" s="105"/>
      <c r="C21" s="136">
        <f>SUM(C15:C20)</f>
        <v>665.14</v>
      </c>
      <c r="D21" t="s">
        <v>358</v>
      </c>
      <c r="E21" s="2"/>
    </row>
    <row r="22" spans="1:5" ht="12.75">
      <c r="A22" t="s">
        <v>503</v>
      </c>
      <c r="B22" s="105">
        <v>2288.26</v>
      </c>
      <c r="E22" s="2"/>
    </row>
    <row r="23" spans="2:5" ht="12.75" outlineLevel="1">
      <c r="B23" s="105"/>
      <c r="C23" s="136">
        <v>469.21</v>
      </c>
      <c r="D23" t="s">
        <v>653</v>
      </c>
      <c r="E23" s="2" t="s">
        <v>370</v>
      </c>
    </row>
    <row r="24" spans="2:5" ht="12.75" outlineLevel="1">
      <c r="B24" s="105"/>
      <c r="C24" s="136">
        <v>225.37</v>
      </c>
      <c r="D24" t="s">
        <v>654</v>
      </c>
      <c r="E24" s="2" t="s">
        <v>370</v>
      </c>
    </row>
    <row r="25" spans="2:5" ht="12.75" outlineLevel="1">
      <c r="B25" s="105"/>
      <c r="C25" s="136">
        <v>479.18</v>
      </c>
      <c r="D25" t="s">
        <v>655</v>
      </c>
      <c r="E25" s="2" t="s">
        <v>370</v>
      </c>
    </row>
    <row r="26" spans="2:5" ht="12.75" outlineLevel="1">
      <c r="B26" s="105"/>
      <c r="C26" s="136">
        <v>10</v>
      </c>
      <c r="D26" t="s">
        <v>656</v>
      </c>
      <c r="E26" s="2" t="s">
        <v>370</v>
      </c>
    </row>
    <row r="27" spans="2:5" ht="12.75" outlineLevel="1">
      <c r="B27" s="105"/>
      <c r="C27" s="136">
        <v>175.5</v>
      </c>
      <c r="D27" t="s">
        <v>663</v>
      </c>
      <c r="E27" s="2" t="s">
        <v>370</v>
      </c>
    </row>
    <row r="28" spans="2:5" ht="12.75" outlineLevel="1">
      <c r="B28" s="105"/>
      <c r="C28" s="136">
        <v>261</v>
      </c>
      <c r="D28" t="s">
        <v>661</v>
      </c>
      <c r="E28" s="2" t="s">
        <v>370</v>
      </c>
    </row>
    <row r="29" spans="2:5" ht="12.75" outlineLevel="1">
      <c r="B29" s="105"/>
      <c r="C29" s="136">
        <v>261</v>
      </c>
      <c r="D29" t="s">
        <v>662</v>
      </c>
      <c r="E29" s="2" t="s">
        <v>370</v>
      </c>
    </row>
    <row r="30" spans="2:5" ht="12.75" outlineLevel="1">
      <c r="B30" s="105"/>
      <c r="C30" s="136">
        <v>10</v>
      </c>
      <c r="D30" t="s">
        <v>657</v>
      </c>
      <c r="E30" s="2" t="s">
        <v>370</v>
      </c>
    </row>
    <row r="31" spans="2:5" s="68" customFormat="1" ht="12.75" outlineLevel="1">
      <c r="B31" s="154"/>
      <c r="C31" s="151">
        <v>173</v>
      </c>
      <c r="D31" s="2" t="s">
        <v>659</v>
      </c>
      <c r="E31" s="2" t="s">
        <v>370</v>
      </c>
    </row>
    <row r="32" spans="2:5" s="68" customFormat="1" ht="12.75" outlineLevel="1">
      <c r="B32" s="154"/>
      <c r="C32" s="151">
        <v>214</v>
      </c>
      <c r="D32" s="2" t="s">
        <v>660</v>
      </c>
      <c r="E32" s="2" t="s">
        <v>370</v>
      </c>
    </row>
    <row r="33" spans="2:5" s="68" customFormat="1" ht="12.75" outlineLevel="1">
      <c r="B33" s="154"/>
      <c r="C33" s="151">
        <v>10</v>
      </c>
      <c r="D33" s="2" t="s">
        <v>658</v>
      </c>
      <c r="E33" s="2" t="s">
        <v>370</v>
      </c>
    </row>
    <row r="34" spans="2:4" s="68" customFormat="1" ht="12.75" outlineLevel="1">
      <c r="B34" s="154"/>
      <c r="C34" s="151">
        <f>SUM(C23:C33)</f>
        <v>2288.26</v>
      </c>
      <c r="D34" s="2"/>
    </row>
    <row r="35" spans="2:4" s="68" customFormat="1" ht="12.75">
      <c r="B35" s="154"/>
      <c r="C35" s="151"/>
      <c r="D35" s="2"/>
    </row>
    <row r="36" spans="2:4" s="68" customFormat="1" ht="12.75">
      <c r="B36" s="154"/>
      <c r="C36" s="151"/>
      <c r="D36" s="2"/>
    </row>
    <row r="37" spans="1:5" ht="12.75">
      <c r="A37" t="s">
        <v>504</v>
      </c>
      <c r="B37" s="105">
        <v>2936.92</v>
      </c>
      <c r="E37" s="2"/>
    </row>
    <row r="38" spans="2:5" ht="12.75" outlineLevel="1">
      <c r="B38" s="105"/>
      <c r="C38" s="136">
        <v>1003.71</v>
      </c>
      <c r="D38" t="s">
        <v>666</v>
      </c>
      <c r="E38" s="2" t="s">
        <v>370</v>
      </c>
    </row>
    <row r="39" spans="2:5" ht="12.75" outlineLevel="1">
      <c r="B39" s="105"/>
      <c r="C39" s="136">
        <v>1783.21</v>
      </c>
      <c r="D39" t="s">
        <v>667</v>
      </c>
      <c r="E39" s="2" t="s">
        <v>370</v>
      </c>
    </row>
    <row r="40" spans="3:5" ht="12.75" outlineLevel="1">
      <c r="C40" s="136">
        <v>150</v>
      </c>
      <c r="D40" s="160" t="s">
        <v>668</v>
      </c>
      <c r="E40" s="2" t="s">
        <v>370</v>
      </c>
    </row>
    <row r="41" ht="12.75" outlineLevel="1">
      <c r="C41" s="136">
        <f>SUM(C38:C40)</f>
        <v>2936.92</v>
      </c>
    </row>
    <row r="42" spans="1:5" ht="12.75">
      <c r="A42" t="s">
        <v>439</v>
      </c>
      <c r="B42" s="105">
        <f>SUM(B6:B39)</f>
        <v>11219.460000000001</v>
      </c>
      <c r="E42" s="2"/>
    </row>
    <row r="43" spans="2:5" ht="12.75">
      <c r="B43" s="105"/>
      <c r="E43" s="2"/>
    </row>
    <row r="44" spans="1:5" ht="12.75">
      <c r="A44" t="s">
        <v>507</v>
      </c>
      <c r="B44" s="105">
        <v>5385.3408</v>
      </c>
      <c r="E44" s="2"/>
    </row>
    <row r="45" spans="2:5" ht="12.75" outlineLevel="1">
      <c r="B45" s="105"/>
      <c r="C45" s="136">
        <f>$B$4*C9</f>
        <v>1962.72</v>
      </c>
      <c r="D45" t="s">
        <v>591</v>
      </c>
      <c r="E45" s="2" t="s">
        <v>124</v>
      </c>
    </row>
    <row r="46" spans="2:5" ht="12.75" outlineLevel="1">
      <c r="B46" s="105"/>
      <c r="C46" s="136">
        <f>$B$4*C13</f>
        <v>595.2672</v>
      </c>
      <c r="D46" t="s">
        <v>499</v>
      </c>
      <c r="E46" s="2" t="s">
        <v>124</v>
      </c>
    </row>
    <row r="47" spans="2:5" ht="12.75" outlineLevel="1">
      <c r="B47" s="105"/>
      <c r="C47" s="136">
        <f>$B$4*C21</f>
        <v>319.2672</v>
      </c>
      <c r="D47" t="s">
        <v>500</v>
      </c>
      <c r="E47" s="2" t="s">
        <v>189</v>
      </c>
    </row>
    <row r="48" spans="2:5" ht="12.75" outlineLevel="1">
      <c r="B48" s="105"/>
      <c r="C48" s="136">
        <f>$B$4*C34</f>
        <v>1098.3648</v>
      </c>
      <c r="D48" t="s">
        <v>503</v>
      </c>
      <c r="E48" s="2" t="s">
        <v>370</v>
      </c>
    </row>
    <row r="49" spans="2:5" ht="12.75" outlineLevel="1">
      <c r="B49" s="105"/>
      <c r="C49" s="136">
        <f>$B$4*C41</f>
        <v>1409.7216</v>
      </c>
      <c r="D49" t="s">
        <v>504</v>
      </c>
      <c r="E49" s="2" t="s">
        <v>370</v>
      </c>
    </row>
    <row r="50" spans="2:3" ht="12.75" outlineLevel="1">
      <c r="B50" s="105"/>
      <c r="C50" s="136">
        <f>SUM(C45:C49)</f>
        <v>5385.3408</v>
      </c>
    </row>
    <row r="51" spans="1:2" ht="12.75">
      <c r="A51" t="s">
        <v>509</v>
      </c>
      <c r="B51" s="105">
        <f>B42+B44</f>
        <v>16604.8008</v>
      </c>
    </row>
    <row r="52" ht="12.75">
      <c r="B52" s="105"/>
    </row>
    <row r="53" spans="1:5" ht="12.75">
      <c r="A53" t="s">
        <v>594</v>
      </c>
      <c r="B53" s="105">
        <v>5651.42</v>
      </c>
      <c r="E53" s="2"/>
    </row>
    <row r="54" spans="2:6" ht="12.75" outlineLevel="1">
      <c r="B54" s="105"/>
      <c r="C54" s="105">
        <v>2459.5</v>
      </c>
      <c r="D54" t="s">
        <v>670</v>
      </c>
      <c r="E54" t="s">
        <v>196</v>
      </c>
      <c r="F54" t="s">
        <v>70</v>
      </c>
    </row>
    <row r="55" spans="2:5" ht="12.75" outlineLevel="1">
      <c r="B55" s="105"/>
      <c r="C55" s="105">
        <v>33</v>
      </c>
      <c r="D55" t="s">
        <v>671</v>
      </c>
      <c r="E55" t="s">
        <v>70</v>
      </c>
    </row>
    <row r="56" spans="2:5" ht="12.75" outlineLevel="1">
      <c r="B56" s="105"/>
      <c r="C56" s="105">
        <v>2099.86</v>
      </c>
      <c r="D56" t="s">
        <v>673</v>
      </c>
      <c r="E56" s="2" t="s">
        <v>189</v>
      </c>
    </row>
    <row r="57" spans="2:5" ht="12.75" outlineLevel="1">
      <c r="B57" s="105"/>
      <c r="C57" s="105">
        <v>1059.06</v>
      </c>
      <c r="D57" t="s">
        <v>672</v>
      </c>
      <c r="E57" t="s">
        <v>60</v>
      </c>
    </row>
    <row r="58" spans="2:5" ht="12.75" outlineLevel="1">
      <c r="B58" s="105"/>
      <c r="C58" s="105">
        <f>SUM(C54:C57)</f>
        <v>5651.42</v>
      </c>
      <c r="E58" s="2"/>
    </row>
    <row r="59" spans="1:5" ht="12.75">
      <c r="A59" t="s">
        <v>368</v>
      </c>
      <c r="B59" s="105">
        <f>B53</f>
        <v>5651.42</v>
      </c>
      <c r="C59" s="105"/>
      <c r="E59" s="2"/>
    </row>
    <row r="60" spans="2:5" ht="12.75">
      <c r="B60" s="105"/>
      <c r="C60" s="105"/>
      <c r="E60" s="2"/>
    </row>
    <row r="61" spans="1:2" ht="12.75">
      <c r="A61" t="s">
        <v>415</v>
      </c>
      <c r="B61" s="105">
        <f>B59+B51</f>
        <v>22256.220800000003</v>
      </c>
    </row>
    <row r="62" ht="12.75">
      <c r="B62" s="105"/>
    </row>
    <row r="63" spans="1:2" ht="12.75">
      <c r="A63" t="s">
        <v>416</v>
      </c>
      <c r="B63" s="105">
        <v>0</v>
      </c>
    </row>
    <row r="64" ht="12.75">
      <c r="B64" s="105"/>
    </row>
    <row r="65" spans="1:2" ht="12.75">
      <c r="A65" t="s">
        <v>417</v>
      </c>
      <c r="B65" s="105">
        <f>B61-B63</f>
        <v>22256.220800000003</v>
      </c>
    </row>
    <row r="67" spans="1:2" ht="12.75">
      <c r="A67" s="2" t="s">
        <v>370</v>
      </c>
      <c r="B67" s="136">
        <f>C49+C48+C38+C39+C40+SUM(C23:C33)</f>
        <v>7733.2664</v>
      </c>
    </row>
    <row r="68" spans="1:2" ht="12.75">
      <c r="A68" s="2" t="s">
        <v>189</v>
      </c>
      <c r="B68" s="136">
        <f>C47+C56+C17+C18+C11+C12</f>
        <v>3897.7472</v>
      </c>
    </row>
    <row r="69" spans="1:2" ht="12.75">
      <c r="A69" t="s">
        <v>60</v>
      </c>
      <c r="B69" s="136">
        <f>C57</f>
        <v>1059.06</v>
      </c>
    </row>
    <row r="70" spans="1:2" ht="12.75">
      <c r="A70" t="s">
        <v>196</v>
      </c>
      <c r="B70" s="136">
        <f>C54+C55</f>
        <v>2492.5</v>
      </c>
    </row>
    <row r="71" ht="12.75">
      <c r="A71" t="s">
        <v>70</v>
      </c>
    </row>
    <row r="72" spans="1:2" ht="12.75">
      <c r="A72" s="2" t="s">
        <v>124</v>
      </c>
      <c r="B72" s="136">
        <f>C45+C46+C15+C16+C19+C20+C7+C8</f>
        <v>7073.6472</v>
      </c>
    </row>
    <row r="73" ht="12.75">
      <c r="B73" s="136">
        <f>SUM(B67:B72)</f>
        <v>22256.2208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outlinePr summaryBelow="0"/>
  </sheetPr>
  <dimension ref="A2:F55"/>
  <sheetViews>
    <sheetView workbookViewId="0" topLeftCell="A1">
      <selection activeCell="A52" sqref="A52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642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v>4228.4</v>
      </c>
    </row>
    <row r="7" spans="2:5" ht="12.75" outlineLevel="1">
      <c r="B7" s="105"/>
      <c r="C7" s="136">
        <v>2114.2</v>
      </c>
      <c r="D7" t="s">
        <v>684</v>
      </c>
      <c r="E7" s="2" t="s">
        <v>124</v>
      </c>
    </row>
    <row r="8" spans="2:5" ht="12.75" outlineLevel="1">
      <c r="B8" s="105"/>
      <c r="C8" s="136">
        <v>2114.2</v>
      </c>
      <c r="D8" t="s">
        <v>685</v>
      </c>
      <c r="E8" s="2" t="s">
        <v>124</v>
      </c>
    </row>
    <row r="9" spans="2:5" ht="12.75" outlineLevel="1">
      <c r="B9" s="105"/>
      <c r="C9" s="136">
        <f>SUM(C7:C8)</f>
        <v>4228.4</v>
      </c>
      <c r="D9" t="s">
        <v>358</v>
      </c>
      <c r="E9" s="2"/>
    </row>
    <row r="10" spans="1:5" ht="12.75">
      <c r="A10" t="s">
        <v>500</v>
      </c>
      <c r="B10" s="105">
        <v>672.82</v>
      </c>
      <c r="E10" s="2"/>
    </row>
    <row r="11" spans="2:5" ht="12.75" outlineLevel="1">
      <c r="B11" s="105"/>
      <c r="C11" s="136">
        <v>199.81</v>
      </c>
      <c r="D11" t="s">
        <v>686</v>
      </c>
      <c r="E11" s="2" t="s">
        <v>124</v>
      </c>
    </row>
    <row r="12" spans="2:5" ht="12.75" outlineLevel="1">
      <c r="B12" s="105"/>
      <c r="C12" s="136">
        <v>199.81</v>
      </c>
      <c r="D12" t="s">
        <v>687</v>
      </c>
      <c r="E12" s="2" t="s">
        <v>124</v>
      </c>
    </row>
    <row r="13" spans="2:5" ht="12.75" outlineLevel="1">
      <c r="B13" s="105"/>
      <c r="C13" s="136">
        <v>119.24</v>
      </c>
      <c r="D13" t="s">
        <v>688</v>
      </c>
      <c r="E13" s="2" t="s">
        <v>189</v>
      </c>
    </row>
    <row r="14" spans="2:5" ht="12.75" outlineLevel="1">
      <c r="B14" s="105"/>
      <c r="C14" s="136">
        <v>119.24</v>
      </c>
      <c r="D14" t="s">
        <v>689</v>
      </c>
      <c r="E14" s="2" t="s">
        <v>189</v>
      </c>
    </row>
    <row r="15" spans="2:5" ht="12.75" outlineLevel="1">
      <c r="B15" s="105"/>
      <c r="C15" s="136">
        <v>17.36</v>
      </c>
      <c r="D15" t="s">
        <v>690</v>
      </c>
      <c r="E15" s="2" t="s">
        <v>124</v>
      </c>
    </row>
    <row r="16" spans="2:5" ht="12.75" outlineLevel="1">
      <c r="B16" s="105"/>
      <c r="C16" s="136">
        <v>17.36</v>
      </c>
      <c r="D16" t="s">
        <v>691</v>
      </c>
      <c r="E16" s="2" t="s">
        <v>124</v>
      </c>
    </row>
    <row r="17" spans="2:5" ht="12.75" outlineLevel="1">
      <c r="B17" s="105"/>
      <c r="C17" s="136">
        <f>SUM(C11:C16)</f>
        <v>672.82</v>
      </c>
      <c r="D17" t="s">
        <v>358</v>
      </c>
      <c r="E17" s="2"/>
    </row>
    <row r="18" spans="1:5" ht="12.75">
      <c r="A18" t="s">
        <v>503</v>
      </c>
      <c r="B18" s="105">
        <v>1068.64</v>
      </c>
      <c r="E18" s="2"/>
    </row>
    <row r="19" spans="2:5" ht="12.75" outlineLevel="1">
      <c r="B19" s="105"/>
      <c r="C19" s="136">
        <v>489.54</v>
      </c>
      <c r="D19" t="s">
        <v>692</v>
      </c>
      <c r="E19" s="2" t="s">
        <v>370</v>
      </c>
    </row>
    <row r="20" spans="2:5" ht="12.75" outlineLevel="1">
      <c r="B20" s="105"/>
      <c r="C20" s="136">
        <v>579.1</v>
      </c>
      <c r="D20" t="s">
        <v>693</v>
      </c>
      <c r="E20" s="2" t="s">
        <v>370</v>
      </c>
    </row>
    <row r="21" spans="2:4" s="68" customFormat="1" ht="12.75" outlineLevel="1">
      <c r="B21" s="154"/>
      <c r="C21" s="151">
        <f>SUM(C19:C20)</f>
        <v>1068.64</v>
      </c>
      <c r="D21" s="2"/>
    </row>
    <row r="22" spans="2:4" s="68" customFormat="1" ht="12.75">
      <c r="B22" s="154"/>
      <c r="C22" s="151"/>
      <c r="D22" s="2"/>
    </row>
    <row r="23" spans="2:4" s="68" customFormat="1" ht="12.75">
      <c r="B23" s="154"/>
      <c r="C23" s="151"/>
      <c r="D23" s="2"/>
    </row>
    <row r="24" spans="1:5" ht="12.75">
      <c r="A24" t="s">
        <v>439</v>
      </c>
      <c r="B24" s="105">
        <f>SUM(B6:B23)</f>
        <v>5969.86</v>
      </c>
      <c r="E24" s="2"/>
    </row>
    <row r="25" spans="2:5" ht="12.75">
      <c r="B25" s="105"/>
      <c r="E25" s="2"/>
    </row>
    <row r="26" spans="1:5" ht="12.75">
      <c r="A26" t="s">
        <v>507</v>
      </c>
      <c r="B26" s="105">
        <v>2865.5328</v>
      </c>
      <c r="E26" s="2"/>
    </row>
    <row r="27" spans="2:5" ht="12.75" outlineLevel="1">
      <c r="B27" s="105"/>
      <c r="C27" s="136">
        <f>$B$4*C9</f>
        <v>2029.6319999999998</v>
      </c>
      <c r="D27" t="s">
        <v>591</v>
      </c>
      <c r="E27" s="2" t="s">
        <v>124</v>
      </c>
    </row>
    <row r="28" spans="2:5" ht="12.75" outlineLevel="1">
      <c r="B28" s="105"/>
      <c r="C28" s="136">
        <f>$B$4*C17</f>
        <v>322.9536</v>
      </c>
      <c r="D28" t="s">
        <v>500</v>
      </c>
      <c r="E28" s="2" t="s">
        <v>189</v>
      </c>
    </row>
    <row r="29" spans="2:5" ht="12.75" outlineLevel="1">
      <c r="B29" s="105"/>
      <c r="C29" s="136">
        <f>$B$4*C21</f>
        <v>512.9472000000001</v>
      </c>
      <c r="D29" t="s">
        <v>503</v>
      </c>
      <c r="E29" s="2" t="s">
        <v>370</v>
      </c>
    </row>
    <row r="30" spans="2:3" ht="12.75" outlineLevel="1">
      <c r="B30" s="105"/>
      <c r="C30" s="136">
        <f>SUM(C27:C29)</f>
        <v>2865.5328</v>
      </c>
    </row>
    <row r="31" spans="1:2" ht="12.75">
      <c r="A31" t="s">
        <v>509</v>
      </c>
      <c r="B31" s="105">
        <f>B24+B26</f>
        <v>8835.3928</v>
      </c>
    </row>
    <row r="32" ht="12.75">
      <c r="B32" s="105"/>
    </row>
    <row r="33" spans="1:5" ht="12.75">
      <c r="A33" t="s">
        <v>594</v>
      </c>
      <c r="B33" s="105">
        <v>20372.52</v>
      </c>
      <c r="E33" s="2"/>
    </row>
    <row r="34" spans="2:5" ht="12.75" outlineLevel="1">
      <c r="B34" s="105"/>
      <c r="C34" s="136">
        <v>136.06</v>
      </c>
      <c r="D34" t="s">
        <v>694</v>
      </c>
      <c r="E34" s="2" t="s">
        <v>189</v>
      </c>
    </row>
    <row r="35" spans="2:5" ht="12.75" outlineLevel="1">
      <c r="B35" s="105"/>
      <c r="C35" s="136">
        <v>7424.78</v>
      </c>
      <c r="D35" t="s">
        <v>695</v>
      </c>
      <c r="E35" s="2" t="s">
        <v>189</v>
      </c>
    </row>
    <row r="36" spans="2:5" ht="12.75" outlineLevel="1">
      <c r="B36" s="105"/>
      <c r="C36" s="136">
        <v>625.84</v>
      </c>
      <c r="D36" t="s">
        <v>696</v>
      </c>
      <c r="E36" t="s">
        <v>68</v>
      </c>
    </row>
    <row r="37" spans="2:5" ht="12.75" outlineLevel="1">
      <c r="B37" s="105"/>
      <c r="C37" s="136">
        <v>7189.94</v>
      </c>
      <c r="D37" t="s">
        <v>697</v>
      </c>
      <c r="E37" t="s">
        <v>68</v>
      </c>
    </row>
    <row r="38" spans="2:6" ht="12.75" outlineLevel="1">
      <c r="B38" s="105"/>
      <c r="C38" s="136">
        <v>3875.1</v>
      </c>
      <c r="D38" t="s">
        <v>698</v>
      </c>
      <c r="E38" t="s">
        <v>193</v>
      </c>
      <c r="F38" s="2" t="s">
        <v>190</v>
      </c>
    </row>
    <row r="39" spans="2:5" ht="12.75" outlineLevel="1">
      <c r="B39" s="105"/>
      <c r="C39" s="136">
        <v>1120.8</v>
      </c>
      <c r="D39" t="s">
        <v>699</v>
      </c>
      <c r="E39" t="s">
        <v>70</v>
      </c>
    </row>
    <row r="40" spans="2:5" ht="12.75" outlineLevel="1">
      <c r="B40" s="105"/>
      <c r="C40" s="105">
        <f>SUM(C34:C39)</f>
        <v>20372.519999999997</v>
      </c>
      <c r="E40" s="2"/>
    </row>
    <row r="41" spans="1:5" ht="12.75">
      <c r="A41" t="s">
        <v>368</v>
      </c>
      <c r="B41" s="105">
        <f>B33</f>
        <v>20372.52</v>
      </c>
      <c r="C41" s="105"/>
      <c r="E41" s="2"/>
    </row>
    <row r="42" spans="2:5" ht="12.75">
      <c r="B42" s="105"/>
      <c r="C42" s="105"/>
      <c r="E42" s="2"/>
    </row>
    <row r="43" spans="1:2" ht="12.75">
      <c r="A43" t="s">
        <v>415</v>
      </c>
      <c r="B43" s="105">
        <f>B41+B31</f>
        <v>29207.9128</v>
      </c>
    </row>
    <row r="44" ht="12.75">
      <c r="B44" s="105"/>
    </row>
    <row r="45" spans="1:2" ht="12.75">
      <c r="A45" t="s">
        <v>416</v>
      </c>
      <c r="B45" s="105">
        <v>0</v>
      </c>
    </row>
    <row r="46" ht="12.75">
      <c r="B46" s="105"/>
    </row>
    <row r="47" spans="1:2" ht="12.75">
      <c r="A47" t="s">
        <v>417</v>
      </c>
      <c r="B47" s="105">
        <f>B43-B45</f>
        <v>29207.9128</v>
      </c>
    </row>
    <row r="49" spans="1:2" ht="12.75">
      <c r="A49" s="2" t="s">
        <v>370</v>
      </c>
      <c r="B49" s="136">
        <f>C19+C20+C29</f>
        <v>1581.5872000000002</v>
      </c>
    </row>
    <row r="50" spans="1:2" ht="12.75">
      <c r="A50" s="2" t="s">
        <v>189</v>
      </c>
      <c r="B50" s="136">
        <f>C35+C34+C28+C14+C13</f>
        <v>8122.2735999999995</v>
      </c>
    </row>
    <row r="51" spans="1:2" ht="12.75">
      <c r="A51" s="2" t="s">
        <v>193</v>
      </c>
      <c r="B51" s="136">
        <f>C38</f>
        <v>3875.1</v>
      </c>
    </row>
    <row r="52" spans="1:2" ht="12.75">
      <c r="A52" t="s">
        <v>68</v>
      </c>
      <c r="B52" s="136">
        <f>C37+C36</f>
        <v>7815.78</v>
      </c>
    </row>
    <row r="53" spans="1:2" ht="12.75">
      <c r="A53" t="s">
        <v>70</v>
      </c>
      <c r="B53" s="136">
        <f>C39</f>
        <v>1120.8</v>
      </c>
    </row>
    <row r="54" spans="1:2" ht="12.75">
      <c r="A54" s="2" t="s">
        <v>124</v>
      </c>
      <c r="B54" s="136">
        <f>C27+C16+C15+C12+C11+C8+C7</f>
        <v>6692.371999999999</v>
      </c>
    </row>
    <row r="55" ht="12.75">
      <c r="B55" s="136">
        <f>SUM(B49:B54)</f>
        <v>29207.9128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outlinePr summaryBelow="0"/>
  </sheetPr>
  <dimension ref="A2:F77"/>
  <sheetViews>
    <sheetView workbookViewId="0" topLeftCell="A1">
      <selection activeCell="E67" sqref="E6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4.28125" style="0" customWidth="1"/>
  </cols>
  <sheetData>
    <row r="1" ht="12.75"/>
    <row r="2" spans="1:3" ht="12.75">
      <c r="A2" t="s">
        <v>392</v>
      </c>
      <c r="B2" t="s">
        <v>799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v>6342.6</v>
      </c>
    </row>
    <row r="7" spans="2:5" ht="12.75" outlineLevel="1">
      <c r="B7" s="105"/>
      <c r="C7" s="136">
        <v>2114.2</v>
      </c>
      <c r="D7" t="s">
        <v>800</v>
      </c>
      <c r="E7" s="2" t="s">
        <v>124</v>
      </c>
    </row>
    <row r="8" spans="2:5" ht="12.75" outlineLevel="1">
      <c r="B8" s="105"/>
      <c r="C8" s="136">
        <v>2114.2</v>
      </c>
      <c r="D8" t="s">
        <v>801</v>
      </c>
      <c r="E8" s="2" t="s">
        <v>124</v>
      </c>
    </row>
    <row r="9" spans="2:5" ht="12.75" outlineLevel="1">
      <c r="B9" s="105"/>
      <c r="C9" s="136">
        <v>2114.2</v>
      </c>
      <c r="D9" t="s">
        <v>802</v>
      </c>
      <c r="E9" s="2" t="s">
        <v>124</v>
      </c>
    </row>
    <row r="10" spans="2:5" ht="12.75" outlineLevel="1">
      <c r="B10" s="105"/>
      <c r="C10" s="136">
        <f>SUM(C7:C9)</f>
        <v>6342.599999999999</v>
      </c>
      <c r="D10" t="s">
        <v>358</v>
      </c>
      <c r="E10" s="2"/>
    </row>
    <row r="11" spans="1:5" ht="12.75">
      <c r="A11" t="s">
        <v>703</v>
      </c>
      <c r="B11" s="105">
        <v>924.05</v>
      </c>
      <c r="E11" s="2"/>
    </row>
    <row r="12" spans="2:5" ht="12.75" outlineLevel="1">
      <c r="B12" s="105"/>
      <c r="C12" s="136">
        <v>199.81</v>
      </c>
      <c r="D12" t="s">
        <v>803</v>
      </c>
      <c r="E12" s="2" t="s">
        <v>124</v>
      </c>
    </row>
    <row r="13" spans="2:5" ht="12.75" outlineLevel="1">
      <c r="B13" s="105"/>
      <c r="C13" s="136">
        <v>199.81</v>
      </c>
      <c r="D13" t="s">
        <v>804</v>
      </c>
      <c r="E13" s="2" t="s">
        <v>124</v>
      </c>
    </row>
    <row r="14" spans="2:5" ht="12.75" outlineLevel="1">
      <c r="B14" s="105"/>
      <c r="C14" s="136">
        <v>199.81</v>
      </c>
      <c r="D14" t="s">
        <v>805</v>
      </c>
      <c r="E14" s="2" t="s">
        <v>124</v>
      </c>
    </row>
    <row r="15" spans="2:5" ht="12.75" outlineLevel="1">
      <c r="B15" s="105"/>
      <c r="C15" s="136">
        <v>141.68</v>
      </c>
      <c r="D15" t="s">
        <v>806</v>
      </c>
      <c r="E15" s="2" t="s">
        <v>124</v>
      </c>
    </row>
    <row r="16" spans="2:5" ht="12.75" outlineLevel="1">
      <c r="B16" s="105"/>
      <c r="C16" s="136">
        <v>141.68</v>
      </c>
      <c r="D16" t="s">
        <v>807</v>
      </c>
      <c r="E16" s="2" t="s">
        <v>124</v>
      </c>
    </row>
    <row r="17" spans="2:5" ht="12.75" outlineLevel="1">
      <c r="B17" s="105"/>
      <c r="C17" s="136">
        <v>20.63</v>
      </c>
      <c r="D17" t="s">
        <v>690</v>
      </c>
      <c r="E17" s="2" t="s">
        <v>124</v>
      </c>
    </row>
    <row r="18" spans="2:5" ht="12.75" outlineLevel="1">
      <c r="B18" s="105"/>
      <c r="C18" s="136">
        <v>20.63</v>
      </c>
      <c r="D18" t="s">
        <v>691</v>
      </c>
      <c r="E18" s="2" t="s">
        <v>124</v>
      </c>
    </row>
    <row r="19" spans="2:5" ht="12.75" outlineLevel="1">
      <c r="B19" s="105"/>
      <c r="C19" s="136">
        <f>SUM(C12:C18)</f>
        <v>924.0500000000002</v>
      </c>
      <c r="D19" t="s">
        <v>358</v>
      </c>
      <c r="E19" s="2"/>
    </row>
    <row r="20" spans="1:5" ht="12.75">
      <c r="A20" t="s">
        <v>503</v>
      </c>
      <c r="B20" s="105">
        <v>690.5</v>
      </c>
      <c r="E20" s="2"/>
    </row>
    <row r="21" spans="2:5" ht="12.75" outlineLevel="1">
      <c r="B21" s="105"/>
      <c r="C21" s="136">
        <v>415</v>
      </c>
      <c r="D21" t="s">
        <v>808</v>
      </c>
      <c r="E21" s="2" t="s">
        <v>370</v>
      </c>
    </row>
    <row r="22" spans="2:5" ht="12.75" outlineLevel="1">
      <c r="B22" s="105"/>
      <c r="C22" s="136">
        <v>10</v>
      </c>
      <c r="D22" t="s">
        <v>809</v>
      </c>
      <c r="E22" s="2" t="s">
        <v>370</v>
      </c>
    </row>
    <row r="23" spans="2:5" ht="12.75" outlineLevel="1">
      <c r="B23" s="105"/>
      <c r="C23" s="136">
        <v>265.5</v>
      </c>
      <c r="D23" t="s">
        <v>810</v>
      </c>
      <c r="E23" s="2" t="s">
        <v>370</v>
      </c>
    </row>
    <row r="24" spans="2:4" s="68" customFormat="1" ht="12.75" outlineLevel="1">
      <c r="B24" s="154"/>
      <c r="C24" s="151">
        <f>SUM(C21:C23)</f>
        <v>690.5</v>
      </c>
      <c r="D24" s="2"/>
    </row>
    <row r="25" spans="2:4" s="68" customFormat="1" ht="12.75">
      <c r="B25" s="154"/>
      <c r="C25" s="151"/>
      <c r="D25" s="2"/>
    </row>
    <row r="26" spans="1:4" s="68" customFormat="1" ht="12.75">
      <c r="A26" t="s">
        <v>504</v>
      </c>
      <c r="B26" s="156">
        <v>808.98</v>
      </c>
      <c r="C26" s="151"/>
      <c r="D26" s="2"/>
    </row>
    <row r="27" spans="1:5" s="68" customFormat="1" ht="12.75">
      <c r="A27"/>
      <c r="B27" s="154"/>
      <c r="C27" s="151">
        <v>10</v>
      </c>
      <c r="D27" s="2" t="s">
        <v>809</v>
      </c>
      <c r="E27" s="2" t="s">
        <v>370</v>
      </c>
    </row>
    <row r="28" spans="1:5" s="68" customFormat="1" ht="12.75">
      <c r="A28"/>
      <c r="B28" s="154"/>
      <c r="C28" s="151">
        <v>798.98</v>
      </c>
      <c r="D28" s="2" t="s">
        <v>811</v>
      </c>
      <c r="E28" s="2" t="s">
        <v>370</v>
      </c>
    </row>
    <row r="29" spans="1:4" s="68" customFormat="1" ht="12.75">
      <c r="A29"/>
      <c r="B29" s="154"/>
      <c r="C29" s="151">
        <f>SUM(C27:C28)</f>
        <v>808.98</v>
      </c>
      <c r="D29" s="2"/>
    </row>
    <row r="30" spans="1:4" s="68" customFormat="1" ht="12.75">
      <c r="A30"/>
      <c r="B30" s="154"/>
      <c r="C30" s="151"/>
      <c r="D30" s="2"/>
    </row>
    <row r="31" spans="1:4" s="68" customFormat="1" ht="12.75">
      <c r="A31" s="157" t="s">
        <v>518</v>
      </c>
      <c r="B31" s="156">
        <v>68.55</v>
      </c>
      <c r="C31" s="151"/>
      <c r="D31" s="2"/>
    </row>
    <row r="32" spans="1:5" s="68" customFormat="1" ht="12.75">
      <c r="A32"/>
      <c r="B32" s="154"/>
      <c r="C32" s="151">
        <v>31.97</v>
      </c>
      <c r="D32" s="2" t="s">
        <v>812</v>
      </c>
      <c r="E32" t="s">
        <v>64</v>
      </c>
    </row>
    <row r="33" spans="1:5" s="68" customFormat="1" ht="12.75">
      <c r="A33"/>
      <c r="B33" s="154"/>
      <c r="C33" s="151">
        <v>36.58</v>
      </c>
      <c r="D33" s="2" t="s">
        <v>812</v>
      </c>
      <c r="E33" t="s">
        <v>64</v>
      </c>
    </row>
    <row r="34" spans="2:4" s="68" customFormat="1" ht="12.75">
      <c r="B34" s="154"/>
      <c r="C34" s="151">
        <f>SUM(C32:C33)</f>
        <v>68.55</v>
      </c>
      <c r="D34" s="2"/>
    </row>
    <row r="35" spans="2:4" s="68" customFormat="1" ht="12.75">
      <c r="B35" s="154"/>
      <c r="C35" s="151"/>
      <c r="D35" s="2"/>
    </row>
    <row r="36" spans="1:5" ht="12.75">
      <c r="A36" t="s">
        <v>439</v>
      </c>
      <c r="B36" s="105">
        <f>SUM(B6:B31)</f>
        <v>8834.68</v>
      </c>
      <c r="E36" s="2"/>
    </row>
    <row r="37" spans="2:5" ht="12.75">
      <c r="B37" s="105"/>
      <c r="E37" s="2"/>
    </row>
    <row r="38" spans="1:5" ht="12.75">
      <c r="A38" t="s">
        <v>507</v>
      </c>
      <c r="B38" s="105">
        <v>4240.6464</v>
      </c>
      <c r="E38" s="2"/>
    </row>
    <row r="39" spans="2:5" ht="12.75" outlineLevel="1">
      <c r="B39" s="105"/>
      <c r="C39" s="136">
        <f>$B$4*C10</f>
        <v>3044.4479999999994</v>
      </c>
      <c r="D39" t="s">
        <v>591</v>
      </c>
      <c r="E39" s="2" t="s">
        <v>124</v>
      </c>
    </row>
    <row r="40" spans="2:5" ht="12.75" outlineLevel="1">
      <c r="B40" s="105"/>
      <c r="C40" s="136">
        <f>$B$4*C19</f>
        <v>443.5440000000001</v>
      </c>
      <c r="D40" t="s">
        <v>500</v>
      </c>
      <c r="E40" s="2" t="s">
        <v>124</v>
      </c>
    </row>
    <row r="41" spans="2:5" ht="12.75" outlineLevel="1">
      <c r="B41" s="105"/>
      <c r="C41" s="136">
        <f>$B$4*C24</f>
        <v>331.44</v>
      </c>
      <c r="D41" t="s">
        <v>503</v>
      </c>
      <c r="E41" s="2" t="s">
        <v>370</v>
      </c>
    </row>
    <row r="42" spans="2:5" ht="12.75" outlineLevel="1">
      <c r="B42" s="105"/>
      <c r="C42" s="136">
        <f>$B$4*C29</f>
        <v>388.3104</v>
      </c>
      <c r="D42" t="s">
        <v>504</v>
      </c>
      <c r="E42" s="2" t="s">
        <v>370</v>
      </c>
    </row>
    <row r="43" spans="2:5" ht="12.75" outlineLevel="1">
      <c r="B43" s="105"/>
      <c r="C43" s="136">
        <f>$B$4*C34</f>
        <v>32.903999999999996</v>
      </c>
      <c r="D43" t="s">
        <v>793</v>
      </c>
      <c r="E43" t="s">
        <v>64</v>
      </c>
    </row>
    <row r="44" spans="2:3" ht="12.75" outlineLevel="1">
      <c r="B44" s="105"/>
      <c r="C44" s="136">
        <f>SUM(C39:C43)</f>
        <v>4240.6464</v>
      </c>
    </row>
    <row r="45" spans="1:2" ht="12.75">
      <c r="A45" t="s">
        <v>509</v>
      </c>
      <c r="B45" s="105">
        <f>B36+B38</f>
        <v>13075.3264</v>
      </c>
    </row>
    <row r="46" ht="12.75">
      <c r="B46" s="105"/>
    </row>
    <row r="47" spans="1:5" ht="12.75">
      <c r="A47" t="s">
        <v>594</v>
      </c>
      <c r="B47" s="105">
        <v>32285.27</v>
      </c>
      <c r="E47" s="2"/>
    </row>
    <row r="48" spans="2:6" ht="12.75" outlineLevel="1">
      <c r="B48" s="105"/>
      <c r="C48" s="136">
        <v>975.42</v>
      </c>
      <c r="D48" t="s">
        <v>814</v>
      </c>
      <c r="E48" s="188" t="s">
        <v>182</v>
      </c>
      <c r="F48" s="136" t="s">
        <v>189</v>
      </c>
    </row>
    <row r="49" spans="2:5" ht="12.75" outlineLevel="1">
      <c r="B49" s="105"/>
      <c r="C49" s="136">
        <v>12394.37</v>
      </c>
      <c r="D49" t="s">
        <v>813</v>
      </c>
      <c r="E49" s="2" t="s">
        <v>89</v>
      </c>
    </row>
    <row r="50" spans="2:5" ht="12.75" outlineLevel="1">
      <c r="B50" s="105"/>
      <c r="C50" s="136">
        <v>6067.04</v>
      </c>
      <c r="D50" t="s">
        <v>817</v>
      </c>
      <c r="E50" s="2" t="s">
        <v>89</v>
      </c>
    </row>
    <row r="51" spans="2:5" ht="12.75" outlineLevel="1">
      <c r="B51" s="105"/>
      <c r="C51" s="136">
        <v>1210.61</v>
      </c>
      <c r="D51" t="s">
        <v>820</v>
      </c>
      <c r="E51" s="136" t="s">
        <v>62</v>
      </c>
    </row>
    <row r="52" spans="2:5" ht="12.75" outlineLevel="1">
      <c r="B52" s="105"/>
      <c r="C52" s="136">
        <v>161.03</v>
      </c>
      <c r="D52" t="s">
        <v>821</v>
      </c>
      <c r="E52" s="136" t="s">
        <v>62</v>
      </c>
    </row>
    <row r="53" spans="2:6" ht="12.75" outlineLevel="1">
      <c r="B53" s="105"/>
      <c r="C53" s="136">
        <v>4488.28</v>
      </c>
      <c r="D53" t="s">
        <v>815</v>
      </c>
      <c r="E53" s="2" t="s">
        <v>193</v>
      </c>
      <c r="F53" t="s">
        <v>60</v>
      </c>
    </row>
    <row r="54" spans="2:5" ht="12.75" outlineLevel="1">
      <c r="B54" s="105"/>
      <c r="C54" s="136">
        <v>136.68</v>
      </c>
      <c r="D54" t="s">
        <v>822</v>
      </c>
      <c r="E54" t="s">
        <v>60</v>
      </c>
    </row>
    <row r="55" spans="2:5" ht="12.75" outlineLevel="1">
      <c r="B55" s="105"/>
      <c r="C55" s="136">
        <v>6851.84</v>
      </c>
      <c r="D55" t="s">
        <v>816</v>
      </c>
      <c r="E55" t="s">
        <v>60</v>
      </c>
    </row>
    <row r="56" spans="2:5" ht="12.75" outlineLevel="1">
      <c r="B56" s="105"/>
      <c r="C56" s="105">
        <f>SUM(C48:C55)</f>
        <v>32285.27</v>
      </c>
      <c r="E56" s="2"/>
    </row>
    <row r="57" spans="1:5" ht="12.75">
      <c r="A57" t="s">
        <v>368</v>
      </c>
      <c r="B57" s="105">
        <f>B47</f>
        <v>32285.27</v>
      </c>
      <c r="C57" s="105"/>
      <c r="E57" s="2"/>
    </row>
    <row r="58" spans="2:5" ht="12.75">
      <c r="B58" s="105"/>
      <c r="C58" s="105"/>
      <c r="E58" s="2"/>
    </row>
    <row r="59" spans="1:2" ht="12.75">
      <c r="A59" t="s">
        <v>415</v>
      </c>
      <c r="B59" s="105">
        <f>B57+B45</f>
        <v>45360.5964</v>
      </c>
    </row>
    <row r="60" ht="12.75">
      <c r="B60" s="105"/>
    </row>
    <row r="61" spans="1:2" ht="12.75">
      <c r="A61" t="s">
        <v>416</v>
      </c>
      <c r="B61" s="105">
        <v>0</v>
      </c>
    </row>
    <row r="62" ht="12.75">
      <c r="B62" s="105"/>
    </row>
    <row r="63" spans="1:2" ht="12.75">
      <c r="A63" t="s">
        <v>417</v>
      </c>
      <c r="B63" s="105">
        <f>B59-B61</f>
        <v>45360.5964</v>
      </c>
    </row>
    <row r="65" spans="3:5" ht="12.75">
      <c r="C65" s="2" t="s">
        <v>370</v>
      </c>
      <c r="D65" t="s">
        <v>367</v>
      </c>
      <c r="E65" s="136">
        <f>C24+C29+C41+C42</f>
        <v>2219.2304</v>
      </c>
    </row>
    <row r="66" spans="3:4" ht="12.75">
      <c r="C66" s="188" t="s">
        <v>182</v>
      </c>
      <c r="D66" s="188" t="s">
        <v>855</v>
      </c>
    </row>
    <row r="67" spans="3:5" ht="12.75">
      <c r="C67" s="136" t="s">
        <v>189</v>
      </c>
      <c r="D67" t="s">
        <v>851</v>
      </c>
      <c r="E67" s="199">
        <f>C48</f>
        <v>975.42</v>
      </c>
    </row>
    <row r="68" spans="3:4" ht="12.75">
      <c r="C68" s="136" t="s">
        <v>190</v>
      </c>
      <c r="D68" t="s">
        <v>852</v>
      </c>
    </row>
    <row r="69" spans="3:5" ht="12.75">
      <c r="C69" t="s">
        <v>60</v>
      </c>
      <c r="D69" t="s">
        <v>847</v>
      </c>
      <c r="E69" s="136">
        <f>C54+C55+C50</f>
        <v>13055.560000000001</v>
      </c>
    </row>
    <row r="70" spans="3:5" ht="12.75">
      <c r="C70" s="136" t="s">
        <v>62</v>
      </c>
      <c r="D70" t="s">
        <v>848</v>
      </c>
      <c r="E70" s="136">
        <f>C51+C52</f>
        <v>1371.6399999999999</v>
      </c>
    </row>
    <row r="71" spans="3:5" ht="12.75">
      <c r="C71" t="s">
        <v>64</v>
      </c>
      <c r="D71" t="s">
        <v>853</v>
      </c>
      <c r="E71" s="136">
        <f>C34+C43</f>
        <v>101.454</v>
      </c>
    </row>
    <row r="72" spans="3:4" ht="12.75">
      <c r="C72" t="s">
        <v>68</v>
      </c>
      <c r="D72" t="s">
        <v>849</v>
      </c>
    </row>
    <row r="73" spans="3:4" ht="12.75">
      <c r="C73" s="136" t="s">
        <v>70</v>
      </c>
      <c r="D73" t="s">
        <v>850</v>
      </c>
    </row>
    <row r="74" spans="3:5" ht="12.75">
      <c r="C74" s="2" t="s">
        <v>193</v>
      </c>
      <c r="D74" s="200" t="s">
        <v>1026</v>
      </c>
      <c r="E74" s="199">
        <f>C53</f>
        <v>4488.28</v>
      </c>
    </row>
    <row r="75" spans="3:5" ht="12.75">
      <c r="C75" s="2" t="s">
        <v>89</v>
      </c>
      <c r="D75" t="s">
        <v>854</v>
      </c>
      <c r="E75" s="136">
        <f>C49</f>
        <v>12394.37</v>
      </c>
    </row>
    <row r="76" spans="3:5" ht="12.75">
      <c r="C76" s="136" t="s">
        <v>124</v>
      </c>
      <c r="D76" t="s">
        <v>846</v>
      </c>
      <c r="E76" s="136">
        <f>C10+C19+C39+C40</f>
        <v>10754.641999999998</v>
      </c>
    </row>
    <row r="77" ht="12.75">
      <c r="E77" s="136">
        <f>SUM(E65:E76)</f>
        <v>45360.5964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outlinePr summaryBelow="0"/>
  </sheetPr>
  <dimension ref="A2:E73"/>
  <sheetViews>
    <sheetView workbookViewId="0" topLeftCell="A1">
      <selection activeCell="F54" sqref="F54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700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v>4228.4</v>
      </c>
    </row>
    <row r="7" spans="2:5" ht="12.75" outlineLevel="1">
      <c r="B7" s="105"/>
      <c r="C7" s="136">
        <v>2114.2</v>
      </c>
      <c r="D7" t="s">
        <v>701</v>
      </c>
      <c r="E7" s="2" t="s">
        <v>124</v>
      </c>
    </row>
    <row r="8" spans="2:5" ht="12.75" outlineLevel="1">
      <c r="B8" s="105"/>
      <c r="C8" s="136">
        <v>2114.2</v>
      </c>
      <c r="D8" t="s">
        <v>702</v>
      </c>
      <c r="E8" s="2" t="s">
        <v>124</v>
      </c>
    </row>
    <row r="9" spans="2:5" ht="12.75" outlineLevel="1">
      <c r="B9" s="105"/>
      <c r="C9" s="136">
        <f>SUM(C7:C8)</f>
        <v>4228.4</v>
      </c>
      <c r="D9" t="s">
        <v>358</v>
      </c>
      <c r="E9" s="2"/>
    </row>
    <row r="10" spans="1:5" ht="12.75">
      <c r="A10" t="s">
        <v>703</v>
      </c>
      <c r="B10" s="105">
        <v>724.24</v>
      </c>
      <c r="E10" s="2"/>
    </row>
    <row r="11" spans="2:5" ht="12.75" outlineLevel="1">
      <c r="B11" s="105"/>
      <c r="C11" s="136">
        <v>199.81</v>
      </c>
      <c r="D11" t="s">
        <v>704</v>
      </c>
      <c r="E11" s="2" t="s">
        <v>124</v>
      </c>
    </row>
    <row r="12" spans="2:5" ht="12.75" outlineLevel="1">
      <c r="B12" s="105"/>
      <c r="C12" s="136">
        <v>199.81</v>
      </c>
      <c r="D12" t="s">
        <v>705</v>
      </c>
      <c r="E12" s="2" t="s">
        <v>124</v>
      </c>
    </row>
    <row r="13" spans="2:5" ht="12.75" outlineLevel="1">
      <c r="B13" s="105"/>
      <c r="C13" s="136">
        <v>141.68</v>
      </c>
      <c r="D13" t="s">
        <v>706</v>
      </c>
      <c r="E13" s="2" t="s">
        <v>124</v>
      </c>
    </row>
    <row r="14" spans="2:5" ht="12.75" outlineLevel="1">
      <c r="B14" s="105"/>
      <c r="C14" s="136">
        <v>141.68</v>
      </c>
      <c r="D14" t="s">
        <v>707</v>
      </c>
      <c r="E14" s="2" t="s">
        <v>124</v>
      </c>
    </row>
    <row r="15" spans="2:5" ht="12.75" outlineLevel="1">
      <c r="B15" s="105"/>
      <c r="C15" s="136">
        <v>20.63</v>
      </c>
      <c r="D15" t="s">
        <v>690</v>
      </c>
      <c r="E15" s="2" t="s">
        <v>124</v>
      </c>
    </row>
    <row r="16" spans="2:5" ht="12.75" outlineLevel="1">
      <c r="B16" s="105"/>
      <c r="C16" s="136">
        <v>20.63</v>
      </c>
      <c r="D16" t="s">
        <v>691</v>
      </c>
      <c r="E16" s="2" t="s">
        <v>124</v>
      </c>
    </row>
    <row r="17" spans="2:5" ht="12.75" outlineLevel="1">
      <c r="B17" s="105"/>
      <c r="C17" s="136">
        <f>SUM(C11:C16)</f>
        <v>724.24</v>
      </c>
      <c r="D17" t="s">
        <v>358</v>
      </c>
      <c r="E17" s="2"/>
    </row>
    <row r="18" spans="1:5" ht="12.75">
      <c r="A18" t="s">
        <v>503</v>
      </c>
      <c r="B18" s="105">
        <v>1495.53</v>
      </c>
      <c r="E18" s="2"/>
    </row>
    <row r="19" spans="2:5" ht="12.75" outlineLevel="1">
      <c r="B19" s="105"/>
      <c r="C19" s="136">
        <v>337.2</v>
      </c>
      <c r="D19" t="s">
        <v>708</v>
      </c>
      <c r="E19" s="2" t="s">
        <v>370</v>
      </c>
    </row>
    <row r="20" spans="2:5" ht="12.75" outlineLevel="1">
      <c r="B20" s="105"/>
      <c r="C20" s="136">
        <v>345.71</v>
      </c>
      <c r="D20" t="s">
        <v>709</v>
      </c>
      <c r="E20" s="2" t="s">
        <v>370</v>
      </c>
    </row>
    <row r="21" spans="2:5" ht="12.75" outlineLevel="1">
      <c r="B21" s="105"/>
      <c r="C21" s="136">
        <v>259.62</v>
      </c>
      <c r="D21" t="s">
        <v>710</v>
      </c>
      <c r="E21" s="2" t="s">
        <v>370</v>
      </c>
    </row>
    <row r="22" spans="2:5" ht="12.75" outlineLevel="1">
      <c r="B22" s="105"/>
      <c r="C22" s="136">
        <v>155.25</v>
      </c>
      <c r="D22" t="s">
        <v>711</v>
      </c>
      <c r="E22" s="2" t="s">
        <v>370</v>
      </c>
    </row>
    <row r="23" spans="2:5" ht="12.75" outlineLevel="1">
      <c r="B23" s="105"/>
      <c r="C23" s="136">
        <v>397.75</v>
      </c>
      <c r="D23" t="s">
        <v>712</v>
      </c>
      <c r="E23" s="2" t="s">
        <v>370</v>
      </c>
    </row>
    <row r="24" spans="2:4" s="68" customFormat="1" ht="12.75" outlineLevel="1">
      <c r="B24" s="154"/>
      <c r="C24" s="151">
        <f>SUM(C19:C23)</f>
        <v>1495.53</v>
      </c>
      <c r="D24" s="2"/>
    </row>
    <row r="25" spans="2:4" s="68" customFormat="1" ht="12.75">
      <c r="B25" s="154"/>
      <c r="C25" s="151"/>
      <c r="D25" s="2"/>
    </row>
    <row r="26" spans="1:4" s="68" customFormat="1" ht="12.75">
      <c r="A26" t="s">
        <v>504</v>
      </c>
      <c r="B26" s="156">
        <v>2329.84</v>
      </c>
      <c r="C26" s="151"/>
      <c r="D26" s="2"/>
    </row>
    <row r="27" spans="1:5" s="68" customFormat="1" ht="12.75">
      <c r="A27"/>
      <c r="B27" s="154"/>
      <c r="C27" s="151">
        <v>943.84</v>
      </c>
      <c r="D27" s="2" t="s">
        <v>791</v>
      </c>
      <c r="E27" s="2" t="s">
        <v>370</v>
      </c>
    </row>
    <row r="28" spans="1:5" s="68" customFormat="1" ht="12.75">
      <c r="A28"/>
      <c r="B28" s="154"/>
      <c r="C28" s="151">
        <v>1386</v>
      </c>
      <c r="D28" s="2" t="s">
        <v>792</v>
      </c>
      <c r="E28" s="2" t="s">
        <v>370</v>
      </c>
    </row>
    <row r="29" spans="1:4" s="68" customFormat="1" ht="12.75">
      <c r="A29"/>
      <c r="B29" s="154"/>
      <c r="C29" s="151">
        <f>SUM(C27:C28)</f>
        <v>2329.84</v>
      </c>
      <c r="D29" s="2"/>
    </row>
    <row r="30" spans="1:4" s="68" customFormat="1" ht="12.75">
      <c r="A30"/>
      <c r="B30" s="154"/>
      <c r="C30" s="151"/>
      <c r="D30" s="2"/>
    </row>
    <row r="31" spans="1:4" s="68" customFormat="1" ht="12.75">
      <c r="A31" t="s">
        <v>793</v>
      </c>
      <c r="B31" s="156">
        <v>272.05</v>
      </c>
      <c r="C31" s="151"/>
      <c r="D31" s="2"/>
    </row>
    <row r="32" spans="1:5" s="68" customFormat="1" ht="12.75">
      <c r="A32"/>
      <c r="B32" s="154"/>
      <c r="C32" s="151">
        <v>340.6</v>
      </c>
      <c r="D32" s="2" t="s">
        <v>794</v>
      </c>
      <c r="E32" t="s">
        <v>64</v>
      </c>
    </row>
    <row r="33" spans="1:5" s="68" customFormat="1" ht="12.75">
      <c r="A33"/>
      <c r="B33" s="154"/>
      <c r="C33" s="151">
        <v>-31.97</v>
      </c>
      <c r="D33" s="2" t="s">
        <v>795</v>
      </c>
      <c r="E33" t="s">
        <v>64</v>
      </c>
    </row>
    <row r="34" spans="2:5" s="68" customFormat="1" ht="12.75">
      <c r="B34" s="154"/>
      <c r="C34" s="151">
        <v>-36.58</v>
      </c>
      <c r="D34" s="2" t="s">
        <v>795</v>
      </c>
      <c r="E34" t="s">
        <v>64</v>
      </c>
    </row>
    <row r="35" spans="2:4" s="68" customFormat="1" ht="12.75">
      <c r="B35" s="154"/>
      <c r="C35" s="151">
        <f>SUM(C32:C34)</f>
        <v>272.05</v>
      </c>
      <c r="D35" s="2"/>
    </row>
    <row r="36" spans="2:4" s="68" customFormat="1" ht="12.75">
      <c r="B36" s="154"/>
      <c r="C36" s="151"/>
      <c r="D36" s="2"/>
    </row>
    <row r="37" spans="1:5" ht="12.75">
      <c r="A37" t="s">
        <v>439</v>
      </c>
      <c r="B37" s="105">
        <f>SUM(B6:B31)</f>
        <v>9050.059999999998</v>
      </c>
      <c r="E37" s="2"/>
    </row>
    <row r="38" spans="2:5" ht="12.75">
      <c r="B38" s="105"/>
      <c r="E38" s="2"/>
    </row>
    <row r="39" spans="1:5" ht="12.75">
      <c r="A39" t="s">
        <v>507</v>
      </c>
      <c r="B39" s="105">
        <v>4344.028799999999</v>
      </c>
      <c r="E39" s="2"/>
    </row>
    <row r="40" spans="2:5" ht="12.75" outlineLevel="1">
      <c r="B40" s="105"/>
      <c r="C40" s="136">
        <f>$B$4*C9</f>
        <v>2029.6319999999998</v>
      </c>
      <c r="D40" t="s">
        <v>591</v>
      </c>
      <c r="E40" s="2" t="s">
        <v>124</v>
      </c>
    </row>
    <row r="41" spans="2:5" ht="12.75" outlineLevel="1">
      <c r="B41" s="105"/>
      <c r="C41" s="136">
        <f>$B$4*C17</f>
        <v>347.6352</v>
      </c>
      <c r="D41" t="s">
        <v>500</v>
      </c>
      <c r="E41" s="2" t="s">
        <v>124</v>
      </c>
    </row>
    <row r="42" spans="2:5" ht="12.75" outlineLevel="1">
      <c r="B42" s="105"/>
      <c r="C42" s="136">
        <f>$B$4*C24</f>
        <v>717.8543999999999</v>
      </c>
      <c r="D42" t="s">
        <v>503</v>
      </c>
      <c r="E42" s="2" t="s">
        <v>370</v>
      </c>
    </row>
    <row r="43" spans="2:5" ht="12.75" outlineLevel="1">
      <c r="B43" s="105"/>
      <c r="C43" s="136">
        <f>$B$4*C29</f>
        <v>1118.3232</v>
      </c>
      <c r="D43" t="s">
        <v>504</v>
      </c>
      <c r="E43" s="2" t="s">
        <v>370</v>
      </c>
    </row>
    <row r="44" spans="2:5" ht="12.75" outlineLevel="1">
      <c r="B44" s="105"/>
      <c r="C44" s="136">
        <f>$B$4*C35</f>
        <v>130.584</v>
      </c>
      <c r="D44" t="s">
        <v>793</v>
      </c>
      <c r="E44" t="s">
        <v>64</v>
      </c>
    </row>
    <row r="45" spans="2:3" ht="12.75" outlineLevel="1">
      <c r="B45" s="105"/>
      <c r="C45" s="136">
        <f>SUM(C40:C44)</f>
        <v>4344.028799999999</v>
      </c>
    </row>
    <row r="46" spans="1:2" ht="12.75">
      <c r="A46" t="s">
        <v>509</v>
      </c>
      <c r="B46" s="105">
        <f>B37+B39</f>
        <v>13394.088799999998</v>
      </c>
    </row>
    <row r="47" ht="12.75">
      <c r="B47" s="105"/>
    </row>
    <row r="48" spans="1:5" ht="12.75">
      <c r="A48" t="s">
        <v>594</v>
      </c>
      <c r="B48" s="105">
        <v>19406.62</v>
      </c>
      <c r="E48" s="2"/>
    </row>
    <row r="49" spans="2:5" ht="12.75" outlineLevel="1">
      <c r="B49" s="105"/>
      <c r="C49" s="136">
        <v>1842.27</v>
      </c>
      <c r="D49" t="s">
        <v>796</v>
      </c>
      <c r="E49" s="2" t="s">
        <v>190</v>
      </c>
    </row>
    <row r="50" spans="2:5" ht="12.75" outlineLevel="1">
      <c r="B50" s="105"/>
      <c r="C50" s="136">
        <v>5399.06</v>
      </c>
      <c r="D50" t="s">
        <v>797</v>
      </c>
      <c r="E50" t="s">
        <v>60</v>
      </c>
    </row>
    <row r="51" spans="2:5" ht="12.75" outlineLevel="1">
      <c r="B51" s="105"/>
      <c r="C51" s="136">
        <v>5684.03</v>
      </c>
      <c r="D51" t="s">
        <v>796</v>
      </c>
      <c r="E51" t="s">
        <v>70</v>
      </c>
    </row>
    <row r="52" spans="2:5" ht="12.75" outlineLevel="1">
      <c r="B52" s="105"/>
      <c r="C52" s="136">
        <v>6481.26</v>
      </c>
      <c r="D52" t="s">
        <v>798</v>
      </c>
      <c r="E52" t="s">
        <v>68</v>
      </c>
    </row>
    <row r="53" spans="2:5" ht="12.75" outlineLevel="1">
      <c r="B53" s="105"/>
      <c r="C53" s="136">
        <f>SUM(C49:C52)</f>
        <v>19406.620000000003</v>
      </c>
      <c r="E53" s="2"/>
    </row>
    <row r="54" ht="12.75" outlineLevel="1">
      <c r="B54" s="105"/>
    </row>
    <row r="55" spans="2:5" ht="12.75" outlineLevel="1">
      <c r="B55" s="105"/>
      <c r="C55" s="105">
        <f>SUM(C49:C54)</f>
        <v>38813.240000000005</v>
      </c>
      <c r="E55" s="2"/>
    </row>
    <row r="56" spans="1:5" ht="12.75">
      <c r="A56" t="s">
        <v>368</v>
      </c>
      <c r="B56" s="105">
        <f>B48</f>
        <v>19406.62</v>
      </c>
      <c r="C56" s="105"/>
      <c r="E56" s="2"/>
    </row>
    <row r="57" spans="2:5" ht="12.75">
      <c r="B57" s="105"/>
      <c r="C57" s="105"/>
      <c r="E57" s="2"/>
    </row>
    <row r="58" spans="1:2" ht="12.75">
      <c r="A58" t="s">
        <v>415</v>
      </c>
      <c r="B58" s="105">
        <f>B56+B46</f>
        <v>32800.70879999999</v>
      </c>
    </row>
    <row r="59" ht="12.75">
      <c r="B59" s="105"/>
    </row>
    <row r="60" spans="1:2" ht="12.75">
      <c r="A60" t="s">
        <v>416</v>
      </c>
      <c r="B60" s="105">
        <v>0</v>
      </c>
    </row>
    <row r="61" ht="12.75">
      <c r="B61" s="105"/>
    </row>
    <row r="62" spans="1:2" ht="12.75">
      <c r="A62" t="s">
        <v>417</v>
      </c>
      <c r="B62" s="105">
        <f>B58-B60</f>
        <v>32800.70879999999</v>
      </c>
    </row>
    <row r="64" spans="3:5" ht="12.75">
      <c r="C64" s="2" t="s">
        <v>370</v>
      </c>
      <c r="D64" t="s">
        <v>367</v>
      </c>
      <c r="E64" s="136">
        <f>C24+C42+C43+C29</f>
        <v>5661.5476</v>
      </c>
    </row>
    <row r="65" spans="3:5" ht="12.75">
      <c r="C65" s="136" t="s">
        <v>189</v>
      </c>
      <c r="D65" t="s">
        <v>851</v>
      </c>
      <c r="E65" s="136">
        <f>C51</f>
        <v>5684.03</v>
      </c>
    </row>
    <row r="66" spans="3:5" ht="12.75">
      <c r="C66" s="136" t="s">
        <v>190</v>
      </c>
      <c r="D66" t="s">
        <v>852</v>
      </c>
      <c r="E66" s="136">
        <f>C49</f>
        <v>1842.27</v>
      </c>
    </row>
    <row r="67" spans="3:5" ht="12.75">
      <c r="C67" t="s">
        <v>60</v>
      </c>
      <c r="D67" t="s">
        <v>847</v>
      </c>
      <c r="E67" s="136">
        <f>C50</f>
        <v>5399.06</v>
      </c>
    </row>
    <row r="68" spans="3:4" ht="12.75">
      <c r="C68" s="136" t="s">
        <v>62</v>
      </c>
      <c r="D68" t="s">
        <v>848</v>
      </c>
    </row>
    <row r="69" spans="3:5" ht="12.75">
      <c r="C69" t="s">
        <v>64</v>
      </c>
      <c r="D69" t="s">
        <v>853</v>
      </c>
      <c r="E69" s="136">
        <f>C35+C44</f>
        <v>402.634</v>
      </c>
    </row>
    <row r="70" spans="3:5" ht="12.75">
      <c r="C70" t="s">
        <v>68</v>
      </c>
      <c r="D70" t="s">
        <v>849</v>
      </c>
      <c r="E70" s="136">
        <f>C52</f>
        <v>6481.26</v>
      </c>
    </row>
    <row r="71" spans="3:4" ht="12.75">
      <c r="C71" s="136" t="s">
        <v>70</v>
      </c>
      <c r="D71" t="s">
        <v>850</v>
      </c>
    </row>
    <row r="72" spans="3:5" ht="12.75">
      <c r="C72" s="136" t="s">
        <v>124</v>
      </c>
      <c r="D72" t="s">
        <v>846</v>
      </c>
      <c r="E72" s="136">
        <f>C9+C17+C40+C41</f>
        <v>7329.907199999999</v>
      </c>
    </row>
    <row r="73" ht="12.75">
      <c r="E73" s="136">
        <f>SUM(E64:E72)</f>
        <v>32800.70880000001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outlinePr summaryBelow="0"/>
  </sheetPr>
  <dimension ref="A2:E78"/>
  <sheetViews>
    <sheetView workbookViewId="0" topLeftCell="A1">
      <selection activeCell="E70" sqref="E70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856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v>1748.12</v>
      </c>
    </row>
    <row r="7" spans="2:5" ht="12.75" outlineLevel="1">
      <c r="B7" s="105"/>
      <c r="C7" s="136">
        <v>2114.2</v>
      </c>
      <c r="D7" t="s">
        <v>823</v>
      </c>
      <c r="E7" s="2" t="s">
        <v>124</v>
      </c>
    </row>
    <row r="8" spans="2:5" ht="12.75" outlineLevel="1">
      <c r="B8" s="105"/>
      <c r="C8" s="136">
        <v>2114.2</v>
      </c>
      <c r="D8" t="s">
        <v>824</v>
      </c>
      <c r="E8" s="2" t="s">
        <v>124</v>
      </c>
    </row>
    <row r="9" spans="2:5" ht="12.75" outlineLevel="1">
      <c r="B9" s="105"/>
      <c r="C9" s="136">
        <v>-620.07</v>
      </c>
      <c r="D9" t="s">
        <v>826</v>
      </c>
      <c r="E9" s="2" t="s">
        <v>189</v>
      </c>
    </row>
    <row r="10" spans="2:5" ht="12.75" outlineLevel="1">
      <c r="B10" s="105"/>
      <c r="C10" s="136">
        <v>-620.07</v>
      </c>
      <c r="D10" t="s">
        <v>826</v>
      </c>
      <c r="E10" s="2" t="s">
        <v>189</v>
      </c>
    </row>
    <row r="11" spans="2:5" ht="12.75" outlineLevel="1">
      <c r="B11" s="105"/>
      <c r="C11" s="136">
        <v>-620.07</v>
      </c>
      <c r="D11" t="s">
        <v>826</v>
      </c>
      <c r="E11" s="2" t="s">
        <v>189</v>
      </c>
    </row>
    <row r="12" spans="2:5" ht="12.75" outlineLevel="1">
      <c r="B12" s="105"/>
      <c r="C12" s="136">
        <v>-620.07</v>
      </c>
      <c r="D12" t="s">
        <v>826</v>
      </c>
      <c r="E12" s="2" t="s">
        <v>189</v>
      </c>
    </row>
    <row r="13" spans="2:5" ht="12.75" outlineLevel="1">
      <c r="B13" s="105"/>
      <c r="C13" s="136">
        <f>SUM(C7:C12)</f>
        <v>1748.119999999999</v>
      </c>
      <c r="D13" t="s">
        <v>358</v>
      </c>
      <c r="E13" s="2"/>
    </row>
    <row r="14" spans="1:5" ht="12.75">
      <c r="A14" t="s">
        <v>703</v>
      </c>
      <c r="B14" s="105">
        <v>724.24</v>
      </c>
      <c r="E14" s="2"/>
    </row>
    <row r="15" spans="2:5" ht="12.75" outlineLevel="1">
      <c r="B15" s="105"/>
      <c r="C15" s="136">
        <v>199.81</v>
      </c>
      <c r="D15" t="s">
        <v>827</v>
      </c>
      <c r="E15" s="2" t="s">
        <v>124</v>
      </c>
    </row>
    <row r="16" spans="2:5" ht="12.75" outlineLevel="1">
      <c r="B16" s="105"/>
      <c r="C16" s="136">
        <v>199.81</v>
      </c>
      <c r="D16" t="s">
        <v>828</v>
      </c>
      <c r="E16" s="2" t="s">
        <v>124</v>
      </c>
    </row>
    <row r="17" spans="2:5" ht="12.75" outlineLevel="1">
      <c r="B17" s="105"/>
      <c r="C17" s="136">
        <v>141.68</v>
      </c>
      <c r="D17" t="s">
        <v>829</v>
      </c>
      <c r="E17" s="2" t="s">
        <v>124</v>
      </c>
    </row>
    <row r="18" spans="2:5" ht="12.75" outlineLevel="1">
      <c r="B18" s="105"/>
      <c r="C18" s="136">
        <v>141.68</v>
      </c>
      <c r="D18" t="s">
        <v>830</v>
      </c>
      <c r="E18" s="2" t="s">
        <v>124</v>
      </c>
    </row>
    <row r="19" spans="2:5" ht="12.75" outlineLevel="1">
      <c r="B19" s="105"/>
      <c r="C19" s="136">
        <v>20.63</v>
      </c>
      <c r="D19" t="s">
        <v>831</v>
      </c>
      <c r="E19" s="2" t="s">
        <v>124</v>
      </c>
    </row>
    <row r="20" spans="2:5" ht="12.75" outlineLevel="1">
      <c r="B20" s="105"/>
      <c r="C20" s="136">
        <v>20.63</v>
      </c>
      <c r="D20" t="s">
        <v>832</v>
      </c>
      <c r="E20" s="2" t="s">
        <v>124</v>
      </c>
    </row>
    <row r="21" spans="2:5" ht="12.75" outlineLevel="1">
      <c r="B21" s="105"/>
      <c r="C21" s="136">
        <f>SUM(C15:C20)</f>
        <v>724.24</v>
      </c>
      <c r="D21" t="s">
        <v>358</v>
      </c>
      <c r="E21" s="2"/>
    </row>
    <row r="22" spans="1:5" ht="12.75">
      <c r="A22" t="s">
        <v>503</v>
      </c>
      <c r="B22" s="105">
        <v>3220.36</v>
      </c>
      <c r="E22" s="2"/>
    </row>
    <row r="23" spans="2:5" ht="12.75" outlineLevel="1">
      <c r="B23" s="105"/>
      <c r="C23" s="136">
        <v>474.5</v>
      </c>
      <c r="D23" t="s">
        <v>838</v>
      </c>
      <c r="E23" s="2" t="s">
        <v>370</v>
      </c>
    </row>
    <row r="24" spans="2:5" ht="12.75" outlineLevel="1">
      <c r="B24" s="105"/>
      <c r="C24" s="136">
        <v>150.26</v>
      </c>
      <c r="D24" t="s">
        <v>839</v>
      </c>
      <c r="E24" s="2" t="s">
        <v>370</v>
      </c>
    </row>
    <row r="25" spans="2:5" ht="12.75" outlineLevel="1">
      <c r="B25" s="105"/>
      <c r="C25" s="136">
        <v>1271.5</v>
      </c>
      <c r="D25" t="s">
        <v>834</v>
      </c>
      <c r="E25" s="2" t="s">
        <v>370</v>
      </c>
    </row>
    <row r="26" spans="2:5" ht="12.75" outlineLevel="1">
      <c r="B26" s="105"/>
      <c r="C26" s="136">
        <v>10</v>
      </c>
      <c r="D26" t="s">
        <v>833</v>
      </c>
      <c r="E26" s="2" t="s">
        <v>370</v>
      </c>
    </row>
    <row r="27" spans="2:5" ht="12.75" outlineLevel="1">
      <c r="B27" s="105"/>
      <c r="C27" s="136">
        <v>544.5</v>
      </c>
      <c r="D27" t="s">
        <v>835</v>
      </c>
      <c r="E27" s="2" t="s">
        <v>370</v>
      </c>
    </row>
    <row r="28" spans="2:5" ht="12.75" outlineLevel="1">
      <c r="B28" s="105"/>
      <c r="C28" s="136">
        <v>10</v>
      </c>
      <c r="D28" t="s">
        <v>837</v>
      </c>
      <c r="E28" s="2" t="s">
        <v>370</v>
      </c>
    </row>
    <row r="29" spans="2:5" ht="12.75" outlineLevel="1">
      <c r="B29" s="105"/>
      <c r="C29" s="136">
        <v>369.8</v>
      </c>
      <c r="D29" t="s">
        <v>836</v>
      </c>
      <c r="E29" s="2" t="s">
        <v>370</v>
      </c>
    </row>
    <row r="30" spans="2:5" ht="12.75" outlineLevel="1">
      <c r="B30" s="105"/>
      <c r="C30" s="136">
        <v>10</v>
      </c>
      <c r="D30" t="s">
        <v>837</v>
      </c>
      <c r="E30" s="2" t="s">
        <v>370</v>
      </c>
    </row>
    <row r="31" spans="2:5" ht="12.75" outlineLevel="1">
      <c r="B31" s="105"/>
      <c r="C31" s="136">
        <v>369.8</v>
      </c>
      <c r="D31" t="s">
        <v>836</v>
      </c>
      <c r="E31" s="2" t="s">
        <v>370</v>
      </c>
    </row>
    <row r="32" spans="2:5" ht="12.75" outlineLevel="1">
      <c r="B32" s="105"/>
      <c r="C32" s="136">
        <v>10</v>
      </c>
      <c r="D32" t="s">
        <v>837</v>
      </c>
      <c r="E32" s="2" t="s">
        <v>370</v>
      </c>
    </row>
    <row r="33" spans="2:4" s="68" customFormat="1" ht="12.75" outlineLevel="1">
      <c r="B33" s="154"/>
      <c r="C33" s="151">
        <f>SUM(C23:C32)</f>
        <v>3220.3600000000006</v>
      </c>
      <c r="D33" s="2"/>
    </row>
    <row r="34" spans="2:4" s="68" customFormat="1" ht="12.75">
      <c r="B34" s="154"/>
      <c r="C34" s="151"/>
      <c r="D34" s="2"/>
    </row>
    <row r="35" spans="1:4" s="68" customFormat="1" ht="12.75">
      <c r="A35" t="s">
        <v>504</v>
      </c>
      <c r="B35" s="156">
        <v>3164.57</v>
      </c>
      <c r="C35" s="151"/>
      <c r="D35" s="2"/>
    </row>
    <row r="36" spans="1:5" s="68" customFormat="1" ht="12.75">
      <c r="A36"/>
      <c r="B36" s="156"/>
      <c r="C36" s="151">
        <v>673.67</v>
      </c>
      <c r="D36" s="2" t="s">
        <v>840</v>
      </c>
      <c r="E36" s="2" t="s">
        <v>370</v>
      </c>
    </row>
    <row r="37" spans="1:5" s="68" customFormat="1" ht="12.75">
      <c r="A37"/>
      <c r="B37" s="156"/>
      <c r="C37" s="151">
        <v>868.13</v>
      </c>
      <c r="D37" s="2" t="s">
        <v>841</v>
      </c>
      <c r="E37" s="2" t="s">
        <v>370</v>
      </c>
    </row>
    <row r="38" spans="1:5" s="68" customFormat="1" ht="12.75">
      <c r="A38"/>
      <c r="B38" s="156"/>
      <c r="C38" s="151">
        <v>724.08</v>
      </c>
      <c r="D38" s="2" t="s">
        <v>835</v>
      </c>
      <c r="E38" s="2" t="s">
        <v>370</v>
      </c>
    </row>
    <row r="39" spans="1:5" s="68" customFormat="1" ht="12.75">
      <c r="A39"/>
      <c r="B39" s="156"/>
      <c r="C39" s="151">
        <v>10</v>
      </c>
      <c r="D39" s="2" t="s">
        <v>837</v>
      </c>
      <c r="E39" s="2" t="s">
        <v>370</v>
      </c>
    </row>
    <row r="40" spans="1:5" s="68" customFormat="1" ht="12.75">
      <c r="A40"/>
      <c r="B40" s="154"/>
      <c r="C40" s="151">
        <v>10</v>
      </c>
      <c r="D40" s="2" t="s">
        <v>833</v>
      </c>
      <c r="E40" s="2" t="s">
        <v>370</v>
      </c>
    </row>
    <row r="41" spans="1:5" s="68" customFormat="1" ht="12.75">
      <c r="A41"/>
      <c r="B41" s="154"/>
      <c r="C41" s="151">
        <v>878.69</v>
      </c>
      <c r="D41" s="2" t="s">
        <v>842</v>
      </c>
      <c r="E41" s="2" t="s">
        <v>370</v>
      </c>
    </row>
    <row r="42" spans="1:4" s="68" customFormat="1" ht="12.75">
      <c r="A42"/>
      <c r="B42" s="154"/>
      <c r="C42" s="151">
        <f>SUM(C36:C41)</f>
        <v>3164.57</v>
      </c>
      <c r="D42" s="2"/>
    </row>
    <row r="43" spans="1:4" s="68" customFormat="1" ht="12.75">
      <c r="A43"/>
      <c r="B43" s="154"/>
      <c r="C43" s="151"/>
      <c r="D43" s="2"/>
    </row>
    <row r="44" spans="2:4" s="68" customFormat="1" ht="12.75">
      <c r="B44" s="154"/>
      <c r="C44" s="151"/>
      <c r="D44" s="2"/>
    </row>
    <row r="45" spans="1:5" ht="12.75">
      <c r="A45" t="s">
        <v>439</v>
      </c>
      <c r="B45" s="105">
        <f>SUM(B6:B43)</f>
        <v>8857.289999999999</v>
      </c>
      <c r="E45" s="2"/>
    </row>
    <row r="46" spans="2:5" ht="12.75">
      <c r="B46" s="105"/>
      <c r="E46" s="2"/>
    </row>
    <row r="47" spans="1:5" ht="12.75">
      <c r="A47" t="s">
        <v>507</v>
      </c>
      <c r="B47" s="105">
        <v>4251.499199999999</v>
      </c>
      <c r="E47" s="2"/>
    </row>
    <row r="48" spans="2:5" ht="12.75" outlineLevel="1">
      <c r="B48" s="105"/>
      <c r="C48" s="136">
        <f>$B$4*C13</f>
        <v>839.0975999999995</v>
      </c>
      <c r="D48" t="s">
        <v>591</v>
      </c>
      <c r="E48" s="2" t="s">
        <v>124</v>
      </c>
    </row>
    <row r="49" spans="2:5" ht="12.75" outlineLevel="1">
      <c r="B49" s="105"/>
      <c r="C49" s="136">
        <f>$B$4*C21</f>
        <v>347.6352</v>
      </c>
      <c r="D49" t="s">
        <v>500</v>
      </c>
      <c r="E49" s="2" t="s">
        <v>89</v>
      </c>
    </row>
    <row r="50" spans="2:5" ht="12.75" outlineLevel="1">
      <c r="B50" s="105"/>
      <c r="C50" s="136">
        <f>$B$4*C33</f>
        <v>1545.7728000000002</v>
      </c>
      <c r="D50" t="s">
        <v>503</v>
      </c>
      <c r="E50" s="2" t="s">
        <v>370</v>
      </c>
    </row>
    <row r="51" spans="2:5" ht="12.75" outlineLevel="1">
      <c r="B51" s="105"/>
      <c r="C51" s="136">
        <f>$B$4*C42</f>
        <v>1518.9936</v>
      </c>
      <c r="D51" t="s">
        <v>504</v>
      </c>
      <c r="E51" s="2" t="s">
        <v>370</v>
      </c>
    </row>
    <row r="52" spans="2:3" ht="12.75" outlineLevel="1">
      <c r="B52" s="105"/>
      <c r="C52" s="136">
        <f>SUM(C48:C51)</f>
        <v>4251.499199999999</v>
      </c>
    </row>
    <row r="53" spans="1:2" ht="12.75">
      <c r="A53" t="s">
        <v>509</v>
      </c>
      <c r="B53" s="105">
        <f>B45+B47</f>
        <v>13108.7892</v>
      </c>
    </row>
    <row r="54" ht="12.75">
      <c r="B54" s="105"/>
    </row>
    <row r="55" spans="1:5" ht="12.75">
      <c r="A55" t="s">
        <v>594</v>
      </c>
      <c r="B55" s="105">
        <v>11449.94</v>
      </c>
      <c r="E55" s="2"/>
    </row>
    <row r="56" spans="2:5" ht="12.75" outlineLevel="1">
      <c r="B56" s="105"/>
      <c r="C56" s="136">
        <v>2.31</v>
      </c>
      <c r="D56" t="s">
        <v>843</v>
      </c>
      <c r="E56" s="136" t="s">
        <v>190</v>
      </c>
    </row>
    <row r="57" spans="2:5" ht="12.75" outlineLevel="1">
      <c r="B57" s="105"/>
      <c r="C57" s="136">
        <v>7360.48</v>
      </c>
      <c r="D57" t="s">
        <v>844</v>
      </c>
      <c r="E57" s="2" t="s">
        <v>89</v>
      </c>
    </row>
    <row r="58" spans="2:5" ht="12.75" outlineLevel="1">
      <c r="B58" s="105"/>
      <c r="C58" s="136">
        <v>4087.15</v>
      </c>
      <c r="D58" t="s">
        <v>845</v>
      </c>
      <c r="E58" t="s">
        <v>68</v>
      </c>
    </row>
    <row r="59" spans="2:5" ht="12.75" outlineLevel="1">
      <c r="B59" s="105"/>
      <c r="C59" s="105">
        <f>SUM(C56:C58)</f>
        <v>11449.94</v>
      </c>
      <c r="E59" s="2"/>
    </row>
    <row r="60" spans="1:5" ht="12.75">
      <c r="A60" t="s">
        <v>368</v>
      </c>
      <c r="B60" s="105">
        <f>B55</f>
        <v>11449.94</v>
      </c>
      <c r="C60" s="105"/>
      <c r="E60" s="2"/>
    </row>
    <row r="61" spans="2:5" ht="12.75">
      <c r="B61" s="105"/>
      <c r="C61" s="105"/>
      <c r="E61" s="2"/>
    </row>
    <row r="62" spans="1:2" ht="12.75">
      <c r="A62" t="s">
        <v>415</v>
      </c>
      <c r="B62" s="105">
        <f>B60+B53</f>
        <v>24558.7292</v>
      </c>
    </row>
    <row r="63" ht="12.75">
      <c r="B63" s="105"/>
    </row>
    <row r="64" spans="1:2" ht="12.75">
      <c r="A64" t="s">
        <v>416</v>
      </c>
      <c r="B64" s="105">
        <v>0</v>
      </c>
    </row>
    <row r="65" ht="12.75">
      <c r="B65" s="105"/>
    </row>
    <row r="66" spans="1:2" ht="12.75">
      <c r="A66" t="s">
        <v>417</v>
      </c>
      <c r="B66" s="105">
        <f>B62-B64</f>
        <v>24558.7292</v>
      </c>
    </row>
    <row r="68" spans="3:5" ht="12.75">
      <c r="C68" s="2" t="s">
        <v>370</v>
      </c>
      <c r="D68" t="s">
        <v>367</v>
      </c>
      <c r="E68" s="136">
        <f>C33+C42+C50+C51</f>
        <v>9449.6964</v>
      </c>
    </row>
    <row r="69" spans="3:5" ht="12.75">
      <c r="C69" s="136" t="s">
        <v>189</v>
      </c>
      <c r="D69" t="s">
        <v>851</v>
      </c>
      <c r="E69" s="136">
        <f>C9+C10+C11+C12</f>
        <v>-2480.28</v>
      </c>
    </row>
    <row r="70" spans="3:5" ht="12.75">
      <c r="C70" s="136" t="s">
        <v>190</v>
      </c>
      <c r="D70" t="s">
        <v>852</v>
      </c>
      <c r="E70" s="136">
        <f>C56</f>
        <v>2.31</v>
      </c>
    </row>
    <row r="71" spans="3:4" ht="12.75">
      <c r="C71" t="s">
        <v>60</v>
      </c>
      <c r="D71" t="s">
        <v>847</v>
      </c>
    </row>
    <row r="72" spans="3:4" ht="12.75">
      <c r="C72" s="136" t="s">
        <v>62</v>
      </c>
      <c r="D72" t="s">
        <v>848</v>
      </c>
    </row>
    <row r="73" spans="3:4" ht="12.75">
      <c r="C73" t="s">
        <v>64</v>
      </c>
      <c r="D73" t="s">
        <v>853</v>
      </c>
    </row>
    <row r="74" spans="3:5" ht="12.75">
      <c r="C74" t="s">
        <v>68</v>
      </c>
      <c r="D74" t="s">
        <v>849</v>
      </c>
      <c r="E74" s="136">
        <f>C58</f>
        <v>4087.15</v>
      </c>
    </row>
    <row r="75" spans="3:4" ht="12.75">
      <c r="C75" s="136" t="s">
        <v>70</v>
      </c>
      <c r="D75" t="s">
        <v>850</v>
      </c>
    </row>
    <row r="76" spans="3:5" ht="12.75">
      <c r="C76" s="2" t="s">
        <v>89</v>
      </c>
      <c r="D76" t="s">
        <v>854</v>
      </c>
      <c r="E76" s="136">
        <f>C57+C49</f>
        <v>7708.115199999999</v>
      </c>
    </row>
    <row r="77" spans="3:5" ht="12.75">
      <c r="C77" s="136" t="s">
        <v>124</v>
      </c>
      <c r="D77" t="s">
        <v>846</v>
      </c>
      <c r="E77" s="136">
        <f>C7+C8+C21+C48</f>
        <v>5791.737599999999</v>
      </c>
    </row>
    <row r="78" ht="12.75">
      <c r="E78" s="136">
        <f>SUM(E68:E77)</f>
        <v>24558.7292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outlinePr summaryBelow="0"/>
  </sheetPr>
  <dimension ref="A2:F78"/>
  <sheetViews>
    <sheetView workbookViewId="0" topLeftCell="A6">
      <selection activeCell="E73" sqref="E7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</cols>
  <sheetData>
    <row r="2" spans="1:3" ht="12.75">
      <c r="A2" t="s">
        <v>392</v>
      </c>
      <c r="B2" t="s">
        <v>867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4228.4</v>
      </c>
    </row>
    <row r="7" spans="2:5" ht="12.75" outlineLevel="1">
      <c r="B7" s="105"/>
      <c r="C7" s="136">
        <v>2114.2</v>
      </c>
      <c r="D7" t="s">
        <v>868</v>
      </c>
      <c r="E7" s="2" t="s">
        <v>124</v>
      </c>
    </row>
    <row r="8" spans="2:5" ht="12.75" outlineLevel="1">
      <c r="B8" s="105"/>
      <c r="C8" s="136">
        <v>2114.2</v>
      </c>
      <c r="D8" t="s">
        <v>869</v>
      </c>
      <c r="E8" s="2" t="s">
        <v>124</v>
      </c>
    </row>
    <row r="9" spans="2:5" ht="12.75" outlineLevel="1">
      <c r="B9" s="105"/>
      <c r="C9" s="136">
        <f>SUM(C7:C8)</f>
        <v>4228.4</v>
      </c>
      <c r="D9" t="s">
        <v>358</v>
      </c>
      <c r="E9" s="2"/>
    </row>
    <row r="10" spans="1:5" ht="12.75">
      <c r="A10" t="s">
        <v>876</v>
      </c>
      <c r="B10" s="105">
        <f>C17</f>
        <v>724.24</v>
      </c>
      <c r="E10" s="2"/>
    </row>
    <row r="11" spans="2:5" ht="12.75" outlineLevel="1">
      <c r="B11" s="105"/>
      <c r="C11" s="136">
        <v>199.81</v>
      </c>
      <c r="D11" t="s">
        <v>870</v>
      </c>
      <c r="E11" s="2" t="s">
        <v>124</v>
      </c>
    </row>
    <row r="12" spans="2:5" ht="12.75" outlineLevel="1">
      <c r="B12" s="105"/>
      <c r="C12" s="136">
        <v>199.81</v>
      </c>
      <c r="D12" t="s">
        <v>871</v>
      </c>
      <c r="E12" s="2" t="s">
        <v>124</v>
      </c>
    </row>
    <row r="13" spans="2:5" ht="12.75" outlineLevel="1">
      <c r="B13" s="105"/>
      <c r="C13" s="136">
        <v>141.68</v>
      </c>
      <c r="D13" t="s">
        <v>872</v>
      </c>
      <c r="E13" s="2" t="s">
        <v>124</v>
      </c>
    </row>
    <row r="14" spans="2:5" ht="12.75" outlineLevel="1">
      <c r="B14" s="105"/>
      <c r="C14" s="136">
        <v>141.68</v>
      </c>
      <c r="D14" t="s">
        <v>873</v>
      </c>
      <c r="E14" s="2" t="s">
        <v>124</v>
      </c>
    </row>
    <row r="15" spans="2:5" ht="12.75" outlineLevel="1">
      <c r="B15" s="105"/>
      <c r="C15" s="136">
        <v>20.63</v>
      </c>
      <c r="D15" t="s">
        <v>874</v>
      </c>
      <c r="E15" s="2" t="s">
        <v>124</v>
      </c>
    </row>
    <row r="16" spans="2:5" ht="12.75" outlineLevel="1">
      <c r="B16" s="105"/>
      <c r="C16" s="136">
        <v>20.63</v>
      </c>
      <c r="D16" t="s">
        <v>875</v>
      </c>
      <c r="E16" s="2" t="s">
        <v>124</v>
      </c>
    </row>
    <row r="17" spans="2:5" ht="12.75" outlineLevel="1">
      <c r="B17" s="105"/>
      <c r="C17" s="136">
        <f>SUM(C11:C16)</f>
        <v>724.24</v>
      </c>
      <c r="D17" t="s">
        <v>358</v>
      </c>
      <c r="E17" s="2"/>
    </row>
    <row r="18" spans="1:5" ht="12.75">
      <c r="A18" t="s">
        <v>503</v>
      </c>
      <c r="B18" s="105">
        <f>C25</f>
        <v>1505.0500000000002</v>
      </c>
      <c r="E18" s="2"/>
    </row>
    <row r="19" spans="2:5" ht="12.75" outlineLevel="1">
      <c r="B19" s="105"/>
      <c r="C19" s="136">
        <v>238.5</v>
      </c>
      <c r="D19" t="s">
        <v>869</v>
      </c>
      <c r="E19" s="2" t="s">
        <v>370</v>
      </c>
    </row>
    <row r="20" spans="2:5" ht="12.75" outlineLevel="1">
      <c r="B20" s="105"/>
      <c r="C20" s="136">
        <v>673.18</v>
      </c>
      <c r="D20" t="s">
        <v>877</v>
      </c>
      <c r="E20" s="2" t="s">
        <v>370</v>
      </c>
    </row>
    <row r="21" spans="2:5" ht="12.75" outlineLevel="1">
      <c r="B21" s="105"/>
      <c r="C21" s="136">
        <v>10</v>
      </c>
      <c r="D21" t="s">
        <v>878</v>
      </c>
      <c r="E21" s="2" t="s">
        <v>370</v>
      </c>
    </row>
    <row r="22" spans="2:5" ht="12.75" outlineLevel="1">
      <c r="B22" s="105"/>
      <c r="C22" s="136">
        <v>192.01</v>
      </c>
      <c r="D22" t="s">
        <v>879</v>
      </c>
      <c r="E22" s="2" t="s">
        <v>370</v>
      </c>
    </row>
    <row r="23" spans="2:5" ht="12.75" outlineLevel="1">
      <c r="B23" s="105"/>
      <c r="C23" s="136">
        <v>10</v>
      </c>
      <c r="D23" t="s">
        <v>878</v>
      </c>
      <c r="E23" s="2" t="s">
        <v>370</v>
      </c>
    </row>
    <row r="24" spans="2:5" ht="12.75" outlineLevel="1">
      <c r="B24" s="105"/>
      <c r="C24" s="136">
        <v>381.36</v>
      </c>
      <c r="D24" t="s">
        <v>879</v>
      </c>
      <c r="E24" s="2" t="s">
        <v>370</v>
      </c>
    </row>
    <row r="25" spans="2:4" s="68" customFormat="1" ht="12.75" outlineLevel="1">
      <c r="B25" s="154"/>
      <c r="C25" s="151">
        <f>SUM(C19:C24)</f>
        <v>1505.0500000000002</v>
      </c>
      <c r="D25" s="2"/>
    </row>
    <row r="26" spans="2:4" s="68" customFormat="1" ht="12.75">
      <c r="B26" s="154"/>
      <c r="C26" s="151"/>
      <c r="D26" s="2"/>
    </row>
    <row r="27" spans="1:4" s="68" customFormat="1" ht="12.75">
      <c r="A27" t="s">
        <v>504</v>
      </c>
      <c r="B27" s="156">
        <f>C31</f>
        <v>959.4100000000001</v>
      </c>
      <c r="C27" s="151"/>
      <c r="D27" s="2"/>
    </row>
    <row r="28" spans="1:5" s="68" customFormat="1" ht="12.75">
      <c r="A28"/>
      <c r="B28" s="156"/>
      <c r="C28" s="151">
        <v>387.2</v>
      </c>
      <c r="D28" s="2" t="s">
        <v>880</v>
      </c>
      <c r="E28" s="2" t="s">
        <v>370</v>
      </c>
    </row>
    <row r="29" spans="1:5" s="68" customFormat="1" ht="12.75">
      <c r="A29"/>
      <c r="B29" s="156"/>
      <c r="C29" s="151">
        <v>562.21</v>
      </c>
      <c r="D29" s="2" t="s">
        <v>881</v>
      </c>
      <c r="E29" s="2" t="s">
        <v>370</v>
      </c>
    </row>
    <row r="30" spans="1:5" s="68" customFormat="1" ht="12.75">
      <c r="A30"/>
      <c r="B30" s="156"/>
      <c r="C30" s="151">
        <v>10</v>
      </c>
      <c r="D30" s="2" t="s">
        <v>882</v>
      </c>
      <c r="E30" s="2" t="s">
        <v>370</v>
      </c>
    </row>
    <row r="31" spans="1:4" s="68" customFormat="1" ht="12.75">
      <c r="A31"/>
      <c r="B31" s="154"/>
      <c r="C31" s="151">
        <f>SUM(C28:C30)</f>
        <v>959.4100000000001</v>
      </c>
      <c r="D31" s="2"/>
    </row>
    <row r="32" spans="1:4" s="68" customFormat="1" ht="12.75">
      <c r="A32"/>
      <c r="B32" s="154"/>
      <c r="C32" s="151"/>
      <c r="D32" s="2"/>
    </row>
    <row r="33" spans="1:5" ht="12.75">
      <c r="A33" t="s">
        <v>883</v>
      </c>
      <c r="B33" s="105">
        <f>C34</f>
        <v>46.83</v>
      </c>
      <c r="E33" s="2"/>
    </row>
    <row r="34" spans="2:5" ht="12.75">
      <c r="B34" s="105"/>
      <c r="C34" s="136">
        <v>46.83</v>
      </c>
      <c r="D34" t="s">
        <v>884</v>
      </c>
      <c r="E34" s="136" t="s">
        <v>190</v>
      </c>
    </row>
    <row r="35" spans="2:5" ht="12.75">
      <c r="B35" s="105"/>
      <c r="E35" s="2"/>
    </row>
    <row r="36" spans="1:5" ht="12.75">
      <c r="A36" t="s">
        <v>885</v>
      </c>
      <c r="B36" s="105">
        <f>C37</f>
        <v>4006.33</v>
      </c>
      <c r="E36" s="2"/>
    </row>
    <row r="37" spans="2:5" s="68" customFormat="1" ht="12.75">
      <c r="B37" s="154"/>
      <c r="C37" s="136">
        <v>4006.33</v>
      </c>
      <c r="D37" t="s">
        <v>888</v>
      </c>
      <c r="E37" s="106" t="s">
        <v>64</v>
      </c>
    </row>
    <row r="38" spans="2:4" s="68" customFormat="1" ht="12.75">
      <c r="B38" s="154"/>
      <c r="C38" s="136"/>
      <c r="D38"/>
    </row>
    <row r="39" spans="1:5" ht="12.75">
      <c r="A39" t="s">
        <v>439</v>
      </c>
      <c r="B39" s="105">
        <f>SUM(B6:B36)</f>
        <v>11470.259999999998</v>
      </c>
      <c r="E39" s="2"/>
    </row>
    <row r="40" spans="2:5" ht="12.75">
      <c r="B40" s="105"/>
      <c r="E40" s="2"/>
    </row>
    <row r="41" spans="2:6" ht="12.75">
      <c r="B41" s="105"/>
      <c r="E41" s="2"/>
      <c r="F41" s="136"/>
    </row>
    <row r="42" spans="2:5" ht="12.75">
      <c r="B42" s="105"/>
      <c r="E42" s="2"/>
    </row>
    <row r="43" spans="1:5" ht="12.75">
      <c r="A43" t="s">
        <v>507</v>
      </c>
      <c r="B43" s="105">
        <f>C50</f>
        <v>5505.7248</v>
      </c>
      <c r="E43" s="2"/>
    </row>
    <row r="44" spans="2:5" ht="12.75" outlineLevel="1">
      <c r="B44" s="105"/>
      <c r="C44" s="136">
        <f>$B$4*C9</f>
        <v>2029.6319999999998</v>
      </c>
      <c r="D44" t="s">
        <v>591</v>
      </c>
      <c r="E44" s="2" t="s">
        <v>124</v>
      </c>
    </row>
    <row r="45" spans="2:6" ht="12.75" outlineLevel="1">
      <c r="B45" s="105"/>
      <c r="C45" s="136">
        <f>$B$4*C17</f>
        <v>347.6352</v>
      </c>
      <c r="D45" t="s">
        <v>500</v>
      </c>
      <c r="E45" t="s">
        <v>192</v>
      </c>
      <c r="F45" s="2" t="s">
        <v>89</v>
      </c>
    </row>
    <row r="46" spans="2:6" ht="12.75" outlineLevel="1">
      <c r="B46" s="105"/>
      <c r="C46" s="136">
        <f>$B$4*C25</f>
        <v>722.4240000000001</v>
      </c>
      <c r="D46" t="s">
        <v>503</v>
      </c>
      <c r="E46" s="2" t="s">
        <v>370</v>
      </c>
      <c r="F46" s="136">
        <f>C46+C47</f>
        <v>1182.9408</v>
      </c>
    </row>
    <row r="47" spans="2:5" ht="12.75" outlineLevel="1">
      <c r="B47" s="105"/>
      <c r="C47" s="136">
        <f>$B$4*C31</f>
        <v>460.51680000000005</v>
      </c>
      <c r="D47" t="s">
        <v>504</v>
      </c>
      <c r="E47" s="2" t="s">
        <v>370</v>
      </c>
    </row>
    <row r="48" spans="2:5" ht="12.75" outlineLevel="1">
      <c r="B48" s="105"/>
      <c r="C48" s="136">
        <f>$B$4*C34</f>
        <v>22.478399999999997</v>
      </c>
      <c r="D48" t="s">
        <v>883</v>
      </c>
      <c r="E48" s="136" t="s">
        <v>190</v>
      </c>
    </row>
    <row r="49" spans="2:5" ht="12.75" outlineLevel="1">
      <c r="B49" s="105"/>
      <c r="C49" s="136">
        <f>$B$4*C37</f>
        <v>1923.0384</v>
      </c>
      <c r="D49" t="s">
        <v>885</v>
      </c>
      <c r="E49" s="106" t="s">
        <v>64</v>
      </c>
    </row>
    <row r="50" spans="2:3" ht="12.75" outlineLevel="1">
      <c r="B50" s="105"/>
      <c r="C50" s="136">
        <f>SUM(C44:C49)</f>
        <v>5505.7248</v>
      </c>
    </row>
    <row r="51" spans="1:2" ht="12.75">
      <c r="A51" t="s">
        <v>509</v>
      </c>
      <c r="B51" s="105">
        <f>B39+B43</f>
        <v>16975.9848</v>
      </c>
    </row>
    <row r="52" ht="12.75">
      <c r="B52" s="105"/>
    </row>
    <row r="53" spans="1:5" ht="12.75">
      <c r="A53" t="s">
        <v>594</v>
      </c>
      <c r="B53" s="105">
        <f>C57</f>
        <v>15084.460000000001</v>
      </c>
      <c r="E53" s="2"/>
    </row>
    <row r="54" spans="2:5" ht="12.75" outlineLevel="1">
      <c r="B54" s="105"/>
      <c r="C54" s="136">
        <f>'9725'!U46</f>
        <v>2512.1800000000003</v>
      </c>
      <c r="D54" t="s">
        <v>796</v>
      </c>
      <c r="E54" s="136" t="s">
        <v>190</v>
      </c>
    </row>
    <row r="55" spans="2:6" ht="12.75" outlineLevel="1">
      <c r="B55" s="105"/>
      <c r="C55" s="136">
        <f>'9725'!K49</f>
        <v>4988.120000000001</v>
      </c>
      <c r="D55" t="s">
        <v>886</v>
      </c>
      <c r="E55" t="s">
        <v>192</v>
      </c>
      <c r="F55" s="2" t="s">
        <v>89</v>
      </c>
    </row>
    <row r="56" spans="2:5" ht="12.75" outlineLevel="1">
      <c r="B56" s="105"/>
      <c r="C56" s="136">
        <f>'9725'!K50</f>
        <v>7584.16</v>
      </c>
      <c r="D56" t="s">
        <v>887</v>
      </c>
      <c r="E56" t="s">
        <v>68</v>
      </c>
    </row>
    <row r="57" spans="2:5" ht="12.75" outlineLevel="1">
      <c r="B57" s="105"/>
      <c r="C57" s="105">
        <f>SUM(C54:C56)</f>
        <v>15084.460000000001</v>
      </c>
      <c r="E57" s="2"/>
    </row>
    <row r="58" spans="1:5" ht="12.75">
      <c r="A58" t="s">
        <v>368</v>
      </c>
      <c r="B58" s="105">
        <f>B53</f>
        <v>15084.460000000001</v>
      </c>
      <c r="C58" s="105"/>
      <c r="E58" s="2"/>
    </row>
    <row r="59" spans="2:5" ht="12.75">
      <c r="B59" s="105"/>
      <c r="C59" s="105"/>
      <c r="E59" s="2"/>
    </row>
    <row r="60" spans="1:2" ht="12.75">
      <c r="A60" t="s">
        <v>415</v>
      </c>
      <c r="B60" s="105">
        <f>B58+B51</f>
        <v>32060.444799999997</v>
      </c>
    </row>
    <row r="61" ht="12.75">
      <c r="B61" s="105"/>
    </row>
    <row r="62" spans="1:2" ht="12.75">
      <c r="A62" t="s">
        <v>416</v>
      </c>
      <c r="B62" s="105">
        <v>0</v>
      </c>
    </row>
    <row r="63" ht="12.75">
      <c r="B63" s="105"/>
    </row>
    <row r="64" spans="1:2" ht="12.75">
      <c r="A64" t="s">
        <v>417</v>
      </c>
      <c r="B64" s="105">
        <f>B60-B62</f>
        <v>32060.444799999997</v>
      </c>
    </row>
    <row r="66" spans="3:5" ht="12.75">
      <c r="C66" s="2" t="s">
        <v>370</v>
      </c>
      <c r="D66" t="s">
        <v>367</v>
      </c>
      <c r="E66" s="136">
        <f>C25+C31+C46+C47</f>
        <v>3647.4008</v>
      </c>
    </row>
    <row r="67" spans="3:5" ht="12.75">
      <c r="C67" s="136" t="s">
        <v>189</v>
      </c>
      <c r="D67" t="s">
        <v>851</v>
      </c>
      <c r="E67" s="136"/>
    </row>
    <row r="68" spans="3:5" ht="12.75">
      <c r="C68" s="136" t="s">
        <v>190</v>
      </c>
      <c r="D68" t="s">
        <v>852</v>
      </c>
      <c r="E68" s="136">
        <f>C54+C34+C48</f>
        <v>2581.4884</v>
      </c>
    </row>
    <row r="69" spans="3:4" ht="12.75">
      <c r="C69" t="s">
        <v>60</v>
      </c>
      <c r="D69" t="s">
        <v>847</v>
      </c>
    </row>
    <row r="70" spans="3:4" ht="12.75">
      <c r="C70" s="136" t="s">
        <v>62</v>
      </c>
      <c r="D70" t="s">
        <v>848</v>
      </c>
    </row>
    <row r="71" spans="2:5" ht="12.75">
      <c r="B71" s="106"/>
      <c r="C71" s="188" t="s">
        <v>192</v>
      </c>
      <c r="D71" s="200" t="s">
        <v>1025</v>
      </c>
      <c r="E71" s="199">
        <f>C55+C45</f>
        <v>5335.7552000000005</v>
      </c>
    </row>
    <row r="72" spans="2:5" ht="12.75">
      <c r="B72" s="106"/>
      <c r="C72" s="188" t="s">
        <v>193</v>
      </c>
      <c r="D72" s="200" t="s">
        <v>1026</v>
      </c>
      <c r="E72" s="143">
        <f>B36+C49</f>
        <v>5929.368399999999</v>
      </c>
    </row>
    <row r="73" spans="3:4" ht="12.75">
      <c r="C73" t="s">
        <v>64</v>
      </c>
      <c r="D73" t="s">
        <v>853</v>
      </c>
    </row>
    <row r="74" spans="3:5" ht="12.75">
      <c r="C74" t="s">
        <v>68</v>
      </c>
      <c r="D74" t="s">
        <v>849</v>
      </c>
      <c r="E74" s="136">
        <f>C56</f>
        <v>7584.16</v>
      </c>
    </row>
    <row r="75" spans="3:4" ht="12.75">
      <c r="C75" s="136" t="s">
        <v>70</v>
      </c>
      <c r="D75" t="s">
        <v>850</v>
      </c>
    </row>
    <row r="76" spans="3:4" ht="12.75">
      <c r="C76" s="2" t="s">
        <v>89</v>
      </c>
      <c r="D76" t="s">
        <v>854</v>
      </c>
    </row>
    <row r="77" spans="3:5" ht="12.75">
      <c r="C77" s="136" t="s">
        <v>124</v>
      </c>
      <c r="D77" t="s">
        <v>846</v>
      </c>
      <c r="E77" s="136">
        <f>C7+C8+C17+C44</f>
        <v>6982.271999999999</v>
      </c>
    </row>
    <row r="78" spans="5:6" ht="12.75">
      <c r="E78" s="136">
        <f>SUM(E66:E77)</f>
        <v>32060.444799999997</v>
      </c>
      <c r="F78" s="136">
        <f>E78-B64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outlinePr summaryBelow="0"/>
  </sheetPr>
  <dimension ref="A2:F84"/>
  <sheetViews>
    <sheetView workbookViewId="0" topLeftCell="A1">
      <selection activeCell="E73" sqref="E7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0" customWidth="1"/>
  </cols>
  <sheetData>
    <row r="2" spans="1:3" ht="12.75">
      <c r="A2" t="s">
        <v>392</v>
      </c>
      <c r="B2" t="s">
        <v>889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4228.4</v>
      </c>
    </row>
    <row r="7" spans="2:5" ht="12.75" outlineLevel="1">
      <c r="B7" s="105"/>
      <c r="C7" s="136">
        <v>2114.2</v>
      </c>
      <c r="D7" t="s">
        <v>890</v>
      </c>
      <c r="E7" s="2" t="s">
        <v>124</v>
      </c>
    </row>
    <row r="8" spans="2:5" ht="12.75" outlineLevel="1">
      <c r="B8" s="105"/>
      <c r="C8" s="136">
        <v>2114.2</v>
      </c>
      <c r="D8" t="s">
        <v>891</v>
      </c>
      <c r="E8" s="2" t="s">
        <v>124</v>
      </c>
    </row>
    <row r="9" spans="2:5" ht="12.75" outlineLevel="1">
      <c r="B9" s="105"/>
      <c r="C9" s="136">
        <f>SUM(C7:C8)</f>
        <v>4228.4</v>
      </c>
      <c r="D9" t="s">
        <v>358</v>
      </c>
      <c r="E9" s="2"/>
    </row>
    <row r="10" spans="1:5" ht="12.75">
      <c r="A10" t="s">
        <v>876</v>
      </c>
      <c r="B10" s="105">
        <f>C17</f>
        <v>724.24</v>
      </c>
      <c r="E10" s="2"/>
    </row>
    <row r="11" spans="2:5" ht="12.75" outlineLevel="1">
      <c r="B11" s="105"/>
      <c r="C11" s="136">
        <v>199.81</v>
      </c>
      <c r="D11" t="s">
        <v>892</v>
      </c>
      <c r="E11" s="2" t="s">
        <v>124</v>
      </c>
    </row>
    <row r="12" spans="2:5" ht="12.75" outlineLevel="1">
      <c r="B12" s="105"/>
      <c r="C12" s="136">
        <v>199.81</v>
      </c>
      <c r="D12" t="s">
        <v>893</v>
      </c>
      <c r="E12" s="2" t="s">
        <v>124</v>
      </c>
    </row>
    <row r="13" spans="2:5" ht="12.75" outlineLevel="1">
      <c r="B13" s="105"/>
      <c r="C13" s="136">
        <v>141.68</v>
      </c>
      <c r="D13" t="s">
        <v>894</v>
      </c>
      <c r="E13" s="2" t="s">
        <v>124</v>
      </c>
    </row>
    <row r="14" spans="2:5" ht="12.75" outlineLevel="1">
      <c r="B14" s="105"/>
      <c r="C14" s="136">
        <v>141.68</v>
      </c>
      <c r="D14" t="s">
        <v>895</v>
      </c>
      <c r="E14" s="2" t="s">
        <v>124</v>
      </c>
    </row>
    <row r="15" spans="2:5" ht="12.75" outlineLevel="1">
      <c r="B15" s="105"/>
      <c r="C15" s="136">
        <v>20.63</v>
      </c>
      <c r="D15" t="s">
        <v>896</v>
      </c>
      <c r="E15" s="2" t="s">
        <v>124</v>
      </c>
    </row>
    <row r="16" spans="2:5" ht="12.75" outlineLevel="1">
      <c r="B16" s="105"/>
      <c r="C16" s="136">
        <v>20.63</v>
      </c>
      <c r="D16" t="s">
        <v>897</v>
      </c>
      <c r="E16" s="2" t="s">
        <v>124</v>
      </c>
    </row>
    <row r="17" spans="2:5" ht="12.75" outlineLevel="1">
      <c r="B17" s="105"/>
      <c r="C17" s="136">
        <f>SUM(C11:C16)</f>
        <v>724.24</v>
      </c>
      <c r="D17" t="s">
        <v>358</v>
      </c>
      <c r="E17" s="2"/>
    </row>
    <row r="18" spans="1:5" ht="12.75">
      <c r="A18" t="s">
        <v>503</v>
      </c>
      <c r="B18" s="105">
        <f>C28</f>
        <v>1958.6299999999999</v>
      </c>
      <c r="E18" s="2"/>
    </row>
    <row r="19" spans="2:5" ht="12.75" outlineLevel="1">
      <c r="B19" s="105"/>
      <c r="C19" s="136">
        <v>593.82</v>
      </c>
      <c r="D19" t="s">
        <v>898</v>
      </c>
      <c r="E19" s="2" t="s">
        <v>370</v>
      </c>
    </row>
    <row r="20" spans="2:5" ht="12.75" outlineLevel="1">
      <c r="B20" s="105"/>
      <c r="C20" s="136">
        <v>157.45</v>
      </c>
      <c r="D20" t="s">
        <v>460</v>
      </c>
      <c r="E20" s="2" t="s">
        <v>370</v>
      </c>
    </row>
    <row r="21" spans="2:5" ht="12.75" outlineLevel="1">
      <c r="B21" s="105"/>
      <c r="C21" s="136">
        <v>10</v>
      </c>
      <c r="D21" t="s">
        <v>899</v>
      </c>
      <c r="E21" s="2" t="s">
        <v>370</v>
      </c>
    </row>
    <row r="22" spans="2:5" ht="12.75" outlineLevel="1">
      <c r="B22" s="105"/>
      <c r="C22" s="136">
        <v>100</v>
      </c>
      <c r="D22" t="s">
        <v>460</v>
      </c>
      <c r="E22" s="2" t="s">
        <v>370</v>
      </c>
    </row>
    <row r="23" spans="2:5" ht="12.75" outlineLevel="1">
      <c r="B23" s="105"/>
      <c r="C23" s="136">
        <v>97.6</v>
      </c>
      <c r="D23" t="s">
        <v>460</v>
      </c>
      <c r="E23" s="2" t="s">
        <v>370</v>
      </c>
    </row>
    <row r="24" spans="2:5" ht="12.75" outlineLevel="1">
      <c r="B24" s="105"/>
      <c r="C24" s="136">
        <v>160.41</v>
      </c>
      <c r="D24" t="s">
        <v>902</v>
      </c>
      <c r="E24" s="2" t="s">
        <v>370</v>
      </c>
    </row>
    <row r="25" spans="2:5" ht="12.75" outlineLevel="1">
      <c r="B25" s="105"/>
      <c r="C25" s="136">
        <v>199.6</v>
      </c>
      <c r="D25" t="s">
        <v>900</v>
      </c>
      <c r="E25" s="2" t="s">
        <v>370</v>
      </c>
    </row>
    <row r="26" spans="2:5" ht="12.75" outlineLevel="1">
      <c r="B26" s="105"/>
      <c r="C26" s="136">
        <v>279.22</v>
      </c>
      <c r="D26" t="s">
        <v>901</v>
      </c>
      <c r="E26" s="2" t="s">
        <v>370</v>
      </c>
    </row>
    <row r="27" spans="2:5" ht="12.75" outlineLevel="1">
      <c r="B27" s="105"/>
      <c r="C27" s="136">
        <v>360.53</v>
      </c>
      <c r="D27" t="s">
        <v>901</v>
      </c>
      <c r="E27" s="2" t="s">
        <v>370</v>
      </c>
    </row>
    <row r="28" spans="2:4" s="68" customFormat="1" ht="12.75" outlineLevel="1">
      <c r="B28" s="154"/>
      <c r="C28" s="151">
        <f>SUM(C19:C27)</f>
        <v>1958.6299999999999</v>
      </c>
      <c r="D28" s="2"/>
    </row>
    <row r="29" spans="2:4" s="68" customFormat="1" ht="12.75">
      <c r="B29" s="154"/>
      <c r="C29" s="151"/>
      <c r="D29" s="2"/>
    </row>
    <row r="30" spans="1:4" s="68" customFormat="1" ht="12.75">
      <c r="A30" t="s">
        <v>504</v>
      </c>
      <c r="B30" s="156">
        <f>C36</f>
        <v>4769.68</v>
      </c>
      <c r="C30" s="151"/>
      <c r="D30" s="2"/>
    </row>
    <row r="31" spans="1:5" s="68" customFormat="1" ht="12.75" outlineLevel="1">
      <c r="A31"/>
      <c r="B31" s="156"/>
      <c r="C31" s="151">
        <v>807.41</v>
      </c>
      <c r="D31" s="2" t="s">
        <v>904</v>
      </c>
      <c r="E31" s="2" t="s">
        <v>370</v>
      </c>
    </row>
    <row r="32" spans="1:5" s="68" customFormat="1" ht="12.75" outlineLevel="1">
      <c r="A32"/>
      <c r="B32" s="156"/>
      <c r="C32" s="151">
        <v>1757.55</v>
      </c>
      <c r="D32" s="2" t="s">
        <v>904</v>
      </c>
      <c r="E32" s="2" t="s">
        <v>370</v>
      </c>
    </row>
    <row r="33" spans="1:5" s="68" customFormat="1" ht="12.75" outlineLevel="1">
      <c r="A33"/>
      <c r="B33" s="156"/>
      <c r="C33" s="151">
        <v>2184.72</v>
      </c>
      <c r="D33" s="2" t="s">
        <v>905</v>
      </c>
      <c r="E33" s="2" t="s">
        <v>370</v>
      </c>
    </row>
    <row r="34" spans="1:5" s="68" customFormat="1" ht="12.75" outlineLevel="1">
      <c r="A34"/>
      <c r="B34" s="156"/>
      <c r="C34" s="151">
        <v>10</v>
      </c>
      <c r="D34" s="2" t="s">
        <v>903</v>
      </c>
      <c r="E34" s="2" t="s">
        <v>370</v>
      </c>
    </row>
    <row r="35" spans="1:5" s="68" customFormat="1" ht="12.75" outlineLevel="1">
      <c r="A35"/>
      <c r="B35" s="156"/>
      <c r="C35" s="151">
        <v>10</v>
      </c>
      <c r="D35" s="2" t="s">
        <v>903</v>
      </c>
      <c r="E35" s="2" t="s">
        <v>370</v>
      </c>
    </row>
    <row r="36" spans="1:4" s="68" customFormat="1" ht="12.75" outlineLevel="1">
      <c r="A36"/>
      <c r="B36" s="154"/>
      <c r="C36" s="151">
        <f>SUM(C31:C35)</f>
        <v>4769.68</v>
      </c>
      <c r="D36" s="2"/>
    </row>
    <row r="37" spans="1:4" s="68" customFormat="1" ht="12.75">
      <c r="A37"/>
      <c r="B37" s="154"/>
      <c r="C37" s="151"/>
      <c r="D37" s="2"/>
    </row>
    <row r="38" spans="1:5" ht="12.75">
      <c r="A38" t="s">
        <v>883</v>
      </c>
      <c r="B38" s="105">
        <f>C39</f>
        <v>-1053.33</v>
      </c>
      <c r="E38" s="2"/>
    </row>
    <row r="39" spans="2:5" ht="12.75">
      <c r="B39" s="105"/>
      <c r="C39" s="105">
        <v>-1053.33</v>
      </c>
      <c r="D39" t="s">
        <v>906</v>
      </c>
      <c r="E39" s="106" t="s">
        <v>190</v>
      </c>
    </row>
    <row r="40" spans="2:5" ht="12.75">
      <c r="B40" s="105"/>
      <c r="E40" s="2"/>
    </row>
    <row r="41" spans="1:5" ht="12.75">
      <c r="A41" t="s">
        <v>885</v>
      </c>
      <c r="B41" s="105">
        <f>C44</f>
        <v>9893.44</v>
      </c>
      <c r="E41" s="2"/>
    </row>
    <row r="42" spans="2:5" s="68" customFormat="1" ht="12.75">
      <c r="B42" s="154"/>
      <c r="C42" s="136">
        <v>2677.36</v>
      </c>
      <c r="D42" t="s">
        <v>1021</v>
      </c>
      <c r="E42" s="106" t="s">
        <v>429</v>
      </c>
    </row>
    <row r="43" spans="2:5" s="68" customFormat="1" ht="12.75">
      <c r="B43" s="154"/>
      <c r="C43" s="136">
        <v>7216.08</v>
      </c>
      <c r="D43" t="s">
        <v>1022</v>
      </c>
      <c r="E43" s="106" t="s">
        <v>429</v>
      </c>
    </row>
    <row r="44" spans="2:5" s="68" customFormat="1" ht="12.75">
      <c r="B44" s="154"/>
      <c r="C44" s="136">
        <f>SUM(C42:C43)</f>
        <v>9893.44</v>
      </c>
      <c r="D44"/>
      <c r="E44" s="106"/>
    </row>
    <row r="45" spans="2:4" s="68" customFormat="1" ht="12.75">
      <c r="B45" s="154"/>
      <c r="C45" s="136"/>
      <c r="D45"/>
    </row>
    <row r="46" spans="1:5" ht="12.75">
      <c r="A46" t="s">
        <v>439</v>
      </c>
      <c r="B46" s="105">
        <f>SUM(B6:B41)</f>
        <v>20521.06</v>
      </c>
      <c r="E46" s="2"/>
    </row>
    <row r="47" spans="2:5" ht="12.75">
      <c r="B47" s="105"/>
      <c r="E47" s="2"/>
    </row>
    <row r="48" spans="2:6" ht="12.75">
      <c r="B48" s="105"/>
      <c r="E48" s="2"/>
      <c r="F48" s="136"/>
    </row>
    <row r="49" spans="2:5" ht="12.75">
      <c r="B49" s="105"/>
      <c r="E49" s="2"/>
    </row>
    <row r="50" spans="1:5" ht="12.75">
      <c r="A50" t="s">
        <v>507</v>
      </c>
      <c r="B50" s="105">
        <f>C57</f>
        <v>9850.108800000002</v>
      </c>
      <c r="E50" s="2"/>
    </row>
    <row r="51" spans="2:5" ht="12.75" outlineLevel="1">
      <c r="B51" s="105"/>
      <c r="C51" s="136">
        <f>$B$4*C9</f>
        <v>2029.6319999999998</v>
      </c>
      <c r="D51" t="s">
        <v>591</v>
      </c>
      <c r="E51" s="2" t="s">
        <v>124</v>
      </c>
    </row>
    <row r="52" spans="2:5" ht="12.75" outlineLevel="1">
      <c r="B52" s="105"/>
      <c r="C52" s="136">
        <f>$B$4*C17</f>
        <v>347.6352</v>
      </c>
      <c r="D52" t="s">
        <v>500</v>
      </c>
      <c r="E52" s="2" t="s">
        <v>124</v>
      </c>
    </row>
    <row r="53" spans="2:6" ht="12.75" outlineLevel="1">
      <c r="B53" s="105"/>
      <c r="C53" s="136">
        <f>$B$4*C28</f>
        <v>940.1424</v>
      </c>
      <c r="D53" t="s">
        <v>503</v>
      </c>
      <c r="E53" s="2" t="s">
        <v>370</v>
      </c>
      <c r="F53" s="136"/>
    </row>
    <row r="54" spans="2:6" ht="12.75" outlineLevel="1">
      <c r="B54" s="105"/>
      <c r="C54" s="136">
        <f>$B$4*C39</f>
        <v>-505.59839999999997</v>
      </c>
      <c r="D54" t="s">
        <v>906</v>
      </c>
      <c r="E54" s="106" t="s">
        <v>190</v>
      </c>
      <c r="F54" s="136"/>
    </row>
    <row r="55" spans="2:5" ht="12.75" outlineLevel="1">
      <c r="B55" s="105"/>
      <c r="C55" s="136">
        <f>$B$4*C36</f>
        <v>2289.4464000000003</v>
      </c>
      <c r="D55" t="s">
        <v>504</v>
      </c>
      <c r="E55" s="2" t="s">
        <v>370</v>
      </c>
    </row>
    <row r="56" spans="2:5" ht="12.75" outlineLevel="1">
      <c r="B56" s="105"/>
      <c r="C56" s="136">
        <f>$B$4*C44</f>
        <v>4748.8512</v>
      </c>
      <c r="D56" t="s">
        <v>885</v>
      </c>
      <c r="E56" s="106"/>
    </row>
    <row r="57" spans="2:3" ht="12.75" outlineLevel="1">
      <c r="B57" s="105"/>
      <c r="C57" s="136">
        <f>SUM(C51:C56)</f>
        <v>9850.108800000002</v>
      </c>
    </row>
    <row r="58" spans="1:2" ht="12.75">
      <c r="A58" t="s">
        <v>509</v>
      </c>
      <c r="B58" s="105">
        <f>B46+B50</f>
        <v>30371.168800000003</v>
      </c>
    </row>
    <row r="59" ht="12.75">
      <c r="B59" s="105"/>
    </row>
    <row r="60" spans="1:5" ht="12.75">
      <c r="A60" t="s">
        <v>594</v>
      </c>
      <c r="B60" s="105">
        <f>C64</f>
        <v>11584.009999999998</v>
      </c>
      <c r="E60" s="2"/>
    </row>
    <row r="61" spans="2:5" ht="12.75" outlineLevel="1">
      <c r="B61" s="105"/>
      <c r="C61" s="136">
        <v>896.55</v>
      </c>
      <c r="D61" t="s">
        <v>796</v>
      </c>
      <c r="E61" s="136" t="s">
        <v>190</v>
      </c>
    </row>
    <row r="62" spans="2:5" ht="12.75" outlineLevel="1">
      <c r="B62" s="105"/>
      <c r="C62" s="136">
        <f>'9725'!K51</f>
        <v>6986.599999999999</v>
      </c>
      <c r="D62" t="s">
        <v>886</v>
      </c>
      <c r="E62" s="106" t="s">
        <v>60</v>
      </c>
    </row>
    <row r="63" spans="2:5" ht="12.75" outlineLevel="1">
      <c r="B63" s="105"/>
      <c r="C63" s="136">
        <f>'9725'!K52</f>
        <v>3700.8599999999997</v>
      </c>
      <c r="D63" t="s">
        <v>887</v>
      </c>
      <c r="E63" s="106" t="s">
        <v>60</v>
      </c>
    </row>
    <row r="64" spans="2:5" ht="12.75" outlineLevel="1">
      <c r="B64" s="105"/>
      <c r="C64" s="105">
        <f>SUM(C61:C63)</f>
        <v>11584.009999999998</v>
      </c>
      <c r="E64" s="2"/>
    </row>
    <row r="65" spans="1:5" ht="12.75">
      <c r="A65" t="s">
        <v>368</v>
      </c>
      <c r="B65" s="105">
        <f>B60</f>
        <v>11584.009999999998</v>
      </c>
      <c r="C65" s="105"/>
      <c r="E65" s="2"/>
    </row>
    <row r="66" spans="2:5" ht="12.75">
      <c r="B66" s="105"/>
      <c r="C66" s="105"/>
      <c r="E66" s="2"/>
    </row>
    <row r="67" spans="1:2" ht="12.75">
      <c r="A67" t="s">
        <v>415</v>
      </c>
      <c r="B67" s="105">
        <f>B65+B58</f>
        <v>41955.1788</v>
      </c>
    </row>
    <row r="68" ht="12.75">
      <c r="B68" s="105"/>
    </row>
    <row r="69" spans="1:2" ht="12.75">
      <c r="A69" t="s">
        <v>416</v>
      </c>
      <c r="B69" s="105">
        <v>0</v>
      </c>
    </row>
    <row r="70" ht="12.75">
      <c r="B70" s="105"/>
    </row>
    <row r="71" spans="1:2" ht="12.75">
      <c r="A71" t="s">
        <v>417</v>
      </c>
      <c r="B71" s="105">
        <f>B67-B69</f>
        <v>41955.1788</v>
      </c>
    </row>
    <row r="73" spans="3:5" ht="12.75">
      <c r="C73" s="2" t="s">
        <v>370</v>
      </c>
      <c r="D73" t="s">
        <v>367</v>
      </c>
      <c r="E73" s="136">
        <f>C28+C36+C53+C55</f>
        <v>9957.8988</v>
      </c>
    </row>
    <row r="74" spans="3:5" ht="12.75">
      <c r="C74" s="136" t="s">
        <v>189</v>
      </c>
      <c r="D74" t="s">
        <v>851</v>
      </c>
      <c r="E74" s="136"/>
    </row>
    <row r="75" spans="3:5" ht="12.75">
      <c r="C75" s="136" t="s">
        <v>190</v>
      </c>
      <c r="D75" t="s">
        <v>852</v>
      </c>
      <c r="E75" s="136">
        <f>C61+C39+C54</f>
        <v>-662.3783999999999</v>
      </c>
    </row>
    <row r="76" spans="3:5" ht="12.75">
      <c r="C76" t="s">
        <v>60</v>
      </c>
      <c r="D76" t="s">
        <v>847</v>
      </c>
      <c r="E76" s="136">
        <f>C62+C63</f>
        <v>10687.46</v>
      </c>
    </row>
    <row r="77" spans="3:4" ht="12.75">
      <c r="C77" s="136" t="s">
        <v>62</v>
      </c>
      <c r="D77" t="s">
        <v>848</v>
      </c>
    </row>
    <row r="78" spans="3:5" ht="12.75">
      <c r="C78" t="s">
        <v>64</v>
      </c>
      <c r="D78" t="s">
        <v>853</v>
      </c>
      <c r="E78" s="105"/>
    </row>
    <row r="79" spans="3:5" ht="12.75">
      <c r="C79" t="s">
        <v>68</v>
      </c>
      <c r="D79" t="s">
        <v>849</v>
      </c>
      <c r="E79" s="136"/>
    </row>
    <row r="80" spans="3:4" ht="12.75">
      <c r="C80" s="136" t="s">
        <v>70</v>
      </c>
      <c r="D80" t="s">
        <v>850</v>
      </c>
    </row>
    <row r="81" spans="3:5" ht="12.75">
      <c r="C81" s="2" t="s">
        <v>89</v>
      </c>
      <c r="D81" t="s">
        <v>854</v>
      </c>
      <c r="E81" s="136"/>
    </row>
    <row r="82" spans="3:5" ht="12.75">
      <c r="C82" s="136" t="s">
        <v>124</v>
      </c>
      <c r="D82" t="s">
        <v>846</v>
      </c>
      <c r="E82" s="136">
        <f>C7+C8+C17+C51+C52</f>
        <v>7329.907199999999</v>
      </c>
    </row>
    <row r="83" spans="3:5" ht="12.75">
      <c r="C83" s="106" t="s">
        <v>429</v>
      </c>
      <c r="D83" t="s">
        <v>1024</v>
      </c>
      <c r="E83" s="136">
        <f>B41+C56</f>
        <v>14642.2912</v>
      </c>
    </row>
    <row r="84" spans="5:6" ht="12.75">
      <c r="E84" s="136">
        <f>SUM(E73:E83)</f>
        <v>41955.178799999994</v>
      </c>
      <c r="F84" s="136">
        <f>E84-B71</f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outlinePr summaryBelow="0"/>
  </sheetPr>
  <dimension ref="A2:F83"/>
  <sheetViews>
    <sheetView workbookViewId="0" topLeftCell="A22">
      <selection activeCell="A38" sqref="A38:IV40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907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C10</f>
        <v>6342.599999999999</v>
      </c>
    </row>
    <row r="7" spans="2:6" ht="12.75" outlineLevel="1">
      <c r="B7" s="105"/>
      <c r="C7" s="136">
        <v>2114.2</v>
      </c>
      <c r="D7" t="s">
        <v>908</v>
      </c>
      <c r="E7" s="2" t="s">
        <v>124</v>
      </c>
      <c r="F7" s="227">
        <f>26*(C7+C12+C13+C15)*1.48/12</f>
        <v>7940.732799999999</v>
      </c>
    </row>
    <row r="8" spans="2:5" ht="12.75" outlineLevel="1">
      <c r="B8" s="105"/>
      <c r="C8" s="136">
        <v>2114.2</v>
      </c>
      <c r="D8" t="s">
        <v>909</v>
      </c>
      <c r="E8" s="2" t="s">
        <v>124</v>
      </c>
    </row>
    <row r="9" spans="2:5" ht="12.75" outlineLevel="1">
      <c r="B9" s="105"/>
      <c r="C9" s="136">
        <v>2114.2</v>
      </c>
      <c r="D9" t="s">
        <v>910</v>
      </c>
      <c r="E9" s="2" t="s">
        <v>124</v>
      </c>
    </row>
    <row r="10" spans="2:5" ht="12.75" outlineLevel="1">
      <c r="B10" s="105"/>
      <c r="C10" s="136">
        <f>SUM(C7:C9)</f>
        <v>6342.599999999999</v>
      </c>
      <c r="D10" t="s">
        <v>358</v>
      </c>
      <c r="E10" s="2"/>
    </row>
    <row r="11" spans="1:5" ht="12.75">
      <c r="A11" t="s">
        <v>876</v>
      </c>
      <c r="B11" s="105">
        <f>C17</f>
        <v>524.4300000000001</v>
      </c>
      <c r="E11" s="2"/>
    </row>
    <row r="12" spans="2:5" ht="12.75" outlineLevel="1">
      <c r="B12" s="105"/>
      <c r="C12" s="136">
        <v>199.81</v>
      </c>
      <c r="D12" t="s">
        <v>911</v>
      </c>
      <c r="E12" s="2" t="s">
        <v>124</v>
      </c>
    </row>
    <row r="13" spans="2:5" ht="12.75" outlineLevel="1">
      <c r="B13" s="105"/>
      <c r="C13" s="136">
        <v>141.68</v>
      </c>
      <c r="D13" t="s">
        <v>912</v>
      </c>
      <c r="E13" s="2" t="s">
        <v>124</v>
      </c>
    </row>
    <row r="14" spans="2:5" ht="12.75" outlineLevel="1">
      <c r="B14" s="105"/>
      <c r="C14" s="136">
        <v>141.68</v>
      </c>
      <c r="D14" t="s">
        <v>914</v>
      </c>
      <c r="E14" s="2" t="s">
        <v>124</v>
      </c>
    </row>
    <row r="15" spans="2:5" ht="12.75" outlineLevel="1">
      <c r="B15" s="105"/>
      <c r="C15" s="136">
        <v>20.63</v>
      </c>
      <c r="D15" t="s">
        <v>913</v>
      </c>
      <c r="E15" s="2" t="s">
        <v>124</v>
      </c>
    </row>
    <row r="16" spans="2:5" ht="12.75" outlineLevel="1">
      <c r="B16" s="105"/>
      <c r="C16" s="136">
        <v>20.63</v>
      </c>
      <c r="D16" t="s">
        <v>915</v>
      </c>
      <c r="E16" s="2" t="s">
        <v>124</v>
      </c>
    </row>
    <row r="17" spans="2:5" ht="12.75" outlineLevel="1">
      <c r="B17" s="105"/>
      <c r="C17" s="136">
        <f>SUM(C12:C16)</f>
        <v>524.4300000000001</v>
      </c>
      <c r="D17" t="s">
        <v>358</v>
      </c>
      <c r="E17" s="2"/>
    </row>
    <row r="18" spans="1:5" ht="12.75">
      <c r="A18" t="s">
        <v>917</v>
      </c>
      <c r="B18" s="105">
        <f>C19</f>
        <v>1360</v>
      </c>
      <c r="E18" s="2"/>
    </row>
    <row r="19" spans="2:5" ht="12.75">
      <c r="B19" s="105"/>
      <c r="C19" s="136">
        <v>1360</v>
      </c>
      <c r="D19" t="s">
        <v>1023</v>
      </c>
      <c r="E19" s="2" t="s">
        <v>192</v>
      </c>
    </row>
    <row r="20" spans="1:5" ht="12.75">
      <c r="A20" t="s">
        <v>499</v>
      </c>
      <c r="B20" s="105">
        <f>C23</f>
        <v>-4341.92</v>
      </c>
      <c r="E20" s="2"/>
    </row>
    <row r="21" spans="2:5" ht="12.75">
      <c r="B21" s="105"/>
      <c r="C21" s="136">
        <v>-631.83</v>
      </c>
      <c r="D21" t="s">
        <v>916</v>
      </c>
      <c r="E21" s="2" t="s">
        <v>189</v>
      </c>
    </row>
    <row r="22" spans="2:5" ht="12.75">
      <c r="B22" s="105"/>
      <c r="C22" s="136">
        <v>-3710.09</v>
      </c>
      <c r="D22" t="s">
        <v>916</v>
      </c>
      <c r="E22" s="2" t="s">
        <v>189</v>
      </c>
    </row>
    <row r="23" spans="2:5" ht="12.75">
      <c r="B23" s="105"/>
      <c r="C23" s="136">
        <f>SUM(C21:C22)</f>
        <v>-4341.92</v>
      </c>
      <c r="E23" s="2"/>
    </row>
    <row r="24" spans="1:5" ht="12.75">
      <c r="A24" t="s">
        <v>503</v>
      </c>
      <c r="B24" s="105">
        <f>C30</f>
        <v>781.61</v>
      </c>
      <c r="E24" s="2"/>
    </row>
    <row r="25" spans="2:5" ht="12.75" outlineLevel="1">
      <c r="B25" s="105"/>
      <c r="C25" s="136">
        <v>112</v>
      </c>
      <c r="D25" t="s">
        <v>918</v>
      </c>
      <c r="E25" s="2" t="s">
        <v>370</v>
      </c>
    </row>
    <row r="26" spans="2:5" ht="12.75" outlineLevel="1">
      <c r="B26" s="105"/>
      <c r="C26" s="136">
        <v>228.31</v>
      </c>
      <c r="D26" t="s">
        <v>481</v>
      </c>
      <c r="E26" s="2" t="s">
        <v>370</v>
      </c>
    </row>
    <row r="27" spans="2:5" ht="12.75" outlineLevel="1">
      <c r="B27" s="105"/>
      <c r="C27" s="136">
        <v>89.13</v>
      </c>
      <c r="D27" t="s">
        <v>481</v>
      </c>
      <c r="E27" s="2" t="s">
        <v>370</v>
      </c>
    </row>
    <row r="28" spans="2:5" ht="12.75" outlineLevel="1">
      <c r="B28" s="105"/>
      <c r="C28" s="136">
        <v>222.67</v>
      </c>
      <c r="D28" t="s">
        <v>919</v>
      </c>
      <c r="E28" s="2" t="s">
        <v>370</v>
      </c>
    </row>
    <row r="29" spans="2:5" ht="12.75" outlineLevel="1">
      <c r="B29" s="105"/>
      <c r="C29" s="136">
        <v>129.5</v>
      </c>
      <c r="D29" t="s">
        <v>919</v>
      </c>
      <c r="E29" s="2" t="s">
        <v>370</v>
      </c>
    </row>
    <row r="30" spans="2:6" s="68" customFormat="1" ht="12.75" outlineLevel="1">
      <c r="B30" s="154"/>
      <c r="C30" s="151">
        <f>SUM(C25:C29)</f>
        <v>781.61</v>
      </c>
      <c r="D30" s="2"/>
      <c r="F30" s="228"/>
    </row>
    <row r="31" spans="2:6" s="68" customFormat="1" ht="12.75">
      <c r="B31" s="154"/>
      <c r="C31" s="151"/>
      <c r="D31" s="2"/>
      <c r="F31" s="228"/>
    </row>
    <row r="32" spans="1:6" s="68" customFormat="1" ht="12.75">
      <c r="A32" t="s">
        <v>504</v>
      </c>
      <c r="B32" s="156">
        <f>C35</f>
        <v>3293.96</v>
      </c>
      <c r="C32" s="151"/>
      <c r="D32" s="2"/>
      <c r="F32" s="228"/>
    </row>
    <row r="33" spans="1:6" s="68" customFormat="1" ht="12.75" outlineLevel="1">
      <c r="A33"/>
      <c r="B33" s="156"/>
      <c r="C33" s="151">
        <v>315.7</v>
      </c>
      <c r="D33" s="2" t="s">
        <v>920</v>
      </c>
      <c r="E33" s="2" t="s">
        <v>370</v>
      </c>
      <c r="F33" s="228"/>
    </row>
    <row r="34" spans="1:6" s="68" customFormat="1" ht="12.75" outlineLevel="1">
      <c r="A34"/>
      <c r="B34" s="156"/>
      <c r="C34" s="151">
        <v>2978.26</v>
      </c>
      <c r="D34" s="2" t="s">
        <v>921</v>
      </c>
      <c r="E34" s="2" t="s">
        <v>370</v>
      </c>
      <c r="F34" s="228"/>
    </row>
    <row r="35" spans="1:6" s="68" customFormat="1" ht="12.75" outlineLevel="1">
      <c r="A35"/>
      <c r="B35" s="154"/>
      <c r="C35" s="151">
        <f>SUM(C33:C34)</f>
        <v>3293.96</v>
      </c>
      <c r="D35" s="2"/>
      <c r="F35" s="228"/>
    </row>
    <row r="36" spans="1:6" s="68" customFormat="1" ht="12.75">
      <c r="A36"/>
      <c r="B36" s="154"/>
      <c r="C36" s="151"/>
      <c r="D36" s="2"/>
      <c r="F36" s="228"/>
    </row>
    <row r="37" spans="2:5" ht="12.75">
      <c r="B37" s="105"/>
      <c r="E37" s="2"/>
    </row>
    <row r="38" spans="1:5" ht="12.75">
      <c r="A38" t="s">
        <v>885</v>
      </c>
      <c r="B38" s="105">
        <f>C40</f>
        <v>-7216.08</v>
      </c>
      <c r="E38" s="2"/>
    </row>
    <row r="39" spans="2:6" s="68" customFormat="1" ht="12.75">
      <c r="B39" s="154"/>
      <c r="C39" s="136">
        <v>-7216.08</v>
      </c>
      <c r="D39" t="s">
        <v>922</v>
      </c>
      <c r="E39" s="106" t="s">
        <v>429</v>
      </c>
      <c r="F39" s="228"/>
    </row>
    <row r="40" spans="2:6" s="68" customFormat="1" ht="12.75">
      <c r="B40" s="154"/>
      <c r="C40" s="136">
        <f>SUM(C39:C39)</f>
        <v>-7216.08</v>
      </c>
      <c r="D40"/>
      <c r="E40" s="106"/>
      <c r="F40" s="228"/>
    </row>
    <row r="41" spans="2:6" s="68" customFormat="1" ht="12.75">
      <c r="B41" s="154"/>
      <c r="C41" s="136"/>
      <c r="D41"/>
      <c r="F41" s="228"/>
    </row>
    <row r="42" spans="1:5" ht="12.75">
      <c r="A42" t="s">
        <v>439</v>
      </c>
      <c r="B42" s="105">
        <f>SUM(B6:B38)</f>
        <v>744.5999999999985</v>
      </c>
      <c r="E42" s="2"/>
    </row>
    <row r="43" spans="2:5" ht="12.75">
      <c r="B43" s="105"/>
      <c r="E43" s="2"/>
    </row>
    <row r="44" spans="2:5" ht="12.75">
      <c r="B44" s="105"/>
      <c r="E44" s="2"/>
    </row>
    <row r="45" spans="2:5" ht="12.75">
      <c r="B45" s="105"/>
      <c r="E45" s="2"/>
    </row>
    <row r="46" spans="1:5" ht="12.75">
      <c r="A46" t="s">
        <v>507</v>
      </c>
      <c r="B46" s="105">
        <f>C54</f>
        <v>357.40799999999945</v>
      </c>
      <c r="E46" s="2"/>
    </row>
    <row r="47" spans="2:5" ht="12.75" outlineLevel="1">
      <c r="B47" s="105"/>
      <c r="C47" s="136">
        <f>$B$4*C10</f>
        <v>3044.4479999999994</v>
      </c>
      <c r="D47" t="s">
        <v>591</v>
      </c>
      <c r="E47" s="2" t="s">
        <v>124</v>
      </c>
    </row>
    <row r="48" spans="2:5" ht="12.75" outlineLevel="1">
      <c r="B48" s="105"/>
      <c r="C48" s="136">
        <f>$B$4*C17</f>
        <v>251.7264</v>
      </c>
      <c r="D48" t="s">
        <v>500</v>
      </c>
      <c r="E48" s="2" t="s">
        <v>124</v>
      </c>
    </row>
    <row r="49" spans="2:5" ht="12.75" outlineLevel="1">
      <c r="B49" s="105"/>
      <c r="C49" s="136">
        <f>$B$4*C23</f>
        <v>-2084.1216</v>
      </c>
      <c r="D49" t="s">
        <v>499</v>
      </c>
      <c r="E49" s="2" t="s">
        <v>189</v>
      </c>
    </row>
    <row r="50" spans="2:5" ht="12.75" outlineLevel="1">
      <c r="B50" s="105"/>
      <c r="C50" s="136">
        <f>$B$4*C19</f>
        <v>652.8</v>
      </c>
      <c r="D50" t="s">
        <v>917</v>
      </c>
      <c r="E50" s="2" t="s">
        <v>192</v>
      </c>
    </row>
    <row r="51" spans="2:5" ht="12.75" outlineLevel="1">
      <c r="B51" s="105"/>
      <c r="C51" s="136">
        <f>$B$4*C30</f>
        <v>375.1728</v>
      </c>
      <c r="D51" t="s">
        <v>503</v>
      </c>
      <c r="E51" s="2" t="s">
        <v>370</v>
      </c>
    </row>
    <row r="52" spans="2:5" ht="12.75" outlineLevel="1">
      <c r="B52" s="105"/>
      <c r="C52" s="136">
        <f>$B$4*C35</f>
        <v>1581.1008</v>
      </c>
      <c r="D52" t="s">
        <v>504</v>
      </c>
      <c r="E52" s="2" t="s">
        <v>370</v>
      </c>
    </row>
    <row r="53" spans="2:5" ht="12.75" outlineLevel="1">
      <c r="B53" s="105"/>
      <c r="C53" s="136">
        <f>$B$4*C40</f>
        <v>-3463.7183999999997</v>
      </c>
      <c r="D53" t="s">
        <v>885</v>
      </c>
      <c r="E53" s="106" t="s">
        <v>429</v>
      </c>
    </row>
    <row r="54" spans="2:3" ht="12.75" outlineLevel="1">
      <c r="B54" s="105"/>
      <c r="C54" s="136">
        <f>SUM(C47:C53)</f>
        <v>357.40799999999945</v>
      </c>
    </row>
    <row r="55" spans="1:2" ht="12.75">
      <c r="A55" t="s">
        <v>509</v>
      </c>
      <c r="B55" s="105">
        <f>B42+B46</f>
        <v>1102.007999999998</v>
      </c>
    </row>
    <row r="56" ht="12.75">
      <c r="B56" s="105"/>
    </row>
    <row r="57" spans="1:5" ht="12.75">
      <c r="A57" t="s">
        <v>594</v>
      </c>
      <c r="B57" s="105">
        <f>C62</f>
        <v>23394.449999999997</v>
      </c>
      <c r="E57" s="2"/>
    </row>
    <row r="58" spans="2:5" ht="12.75" outlineLevel="1">
      <c r="B58" s="105"/>
      <c r="C58" s="136">
        <v>5981.96</v>
      </c>
      <c r="D58" t="s">
        <v>796</v>
      </c>
      <c r="E58" s="136" t="s">
        <v>190</v>
      </c>
    </row>
    <row r="59" spans="2:5" ht="12.75" outlineLevel="1">
      <c r="B59" s="105"/>
      <c r="C59" s="136">
        <v>9493.06</v>
      </c>
      <c r="D59" t="s">
        <v>1012</v>
      </c>
      <c r="E59" s="106" t="s">
        <v>60</v>
      </c>
    </row>
    <row r="60" spans="2:5" ht="12.75" outlineLevel="1">
      <c r="B60" s="105"/>
      <c r="C60" s="136">
        <v>7833.26</v>
      </c>
      <c r="D60" t="s">
        <v>1013</v>
      </c>
      <c r="E60" s="106" t="s">
        <v>60</v>
      </c>
    </row>
    <row r="61" spans="2:5" ht="12.75" outlineLevel="1">
      <c r="B61" s="105"/>
      <c r="C61" s="136">
        <v>86.17</v>
      </c>
      <c r="D61" t="s">
        <v>796</v>
      </c>
      <c r="E61" s="136" t="s">
        <v>190</v>
      </c>
    </row>
    <row r="62" spans="2:5" ht="12.75" outlineLevel="1">
      <c r="B62" s="105"/>
      <c r="C62" s="105">
        <f>SUM(C58:C61)</f>
        <v>23394.449999999997</v>
      </c>
      <c r="E62" s="2"/>
    </row>
    <row r="63" spans="1:5" ht="12.75">
      <c r="A63" t="s">
        <v>368</v>
      </c>
      <c r="B63" s="105">
        <f>B57</f>
        <v>23394.449999999997</v>
      </c>
      <c r="C63" s="105"/>
      <c r="E63" s="2"/>
    </row>
    <row r="64" spans="2:5" ht="12.75">
      <c r="B64" s="105"/>
      <c r="C64" s="105"/>
      <c r="E64" s="2"/>
    </row>
    <row r="65" spans="1:2" ht="12.75">
      <c r="A65" t="s">
        <v>415</v>
      </c>
      <c r="B65" s="105">
        <f>B63+B55</f>
        <v>24496.457999999995</v>
      </c>
    </row>
    <row r="66" ht="12.75">
      <c r="B66" s="105"/>
    </row>
    <row r="67" spans="1:2" ht="12.75">
      <c r="A67" t="s">
        <v>416</v>
      </c>
      <c r="B67" s="105">
        <v>0</v>
      </c>
    </row>
    <row r="68" ht="12.75">
      <c r="B68" s="105"/>
    </row>
    <row r="69" spans="1:2" ht="12.75">
      <c r="A69" t="s">
        <v>417</v>
      </c>
      <c r="B69" s="105">
        <f>B65-B67</f>
        <v>24496.457999999995</v>
      </c>
    </row>
    <row r="70" spans="3:5" ht="12.75">
      <c r="C70" s="106" t="s">
        <v>429</v>
      </c>
      <c r="D70" t="s">
        <v>1024</v>
      </c>
      <c r="E70" s="105">
        <f>B38+C53</f>
        <v>-10679.7984</v>
      </c>
    </row>
    <row r="71" spans="3:5" ht="12.75">
      <c r="C71" s="2" t="s">
        <v>370</v>
      </c>
      <c r="D71" t="s">
        <v>367</v>
      </c>
      <c r="E71" s="136">
        <f>C30+C35+C51+C52</f>
        <v>6031.8436</v>
      </c>
    </row>
    <row r="72" spans="3:5" ht="12.75">
      <c r="C72" s="136" t="s">
        <v>189</v>
      </c>
      <c r="D72" t="s">
        <v>851</v>
      </c>
      <c r="E72" s="136">
        <f>B20+C49</f>
        <v>-6426.0416000000005</v>
      </c>
    </row>
    <row r="73" spans="3:5" ht="12.75">
      <c r="C73" s="136" t="s">
        <v>190</v>
      </c>
      <c r="D73" t="s">
        <v>852</v>
      </c>
      <c r="E73" s="136">
        <f>C58+C61</f>
        <v>6068.13</v>
      </c>
    </row>
    <row r="74" spans="3:5" ht="12.75">
      <c r="C74" t="s">
        <v>60</v>
      </c>
      <c r="D74" t="s">
        <v>847</v>
      </c>
      <c r="E74" s="136">
        <f>C59+C60</f>
        <v>17326.32</v>
      </c>
    </row>
    <row r="75" spans="3:4" ht="12.75">
      <c r="C75" s="136" t="s">
        <v>62</v>
      </c>
      <c r="D75" t="s">
        <v>848</v>
      </c>
    </row>
    <row r="76" spans="3:5" ht="12.75">
      <c r="C76" t="s">
        <v>64</v>
      </c>
      <c r="D76" t="s">
        <v>853</v>
      </c>
      <c r="E76" s="105"/>
    </row>
    <row r="77" spans="3:5" ht="12.75">
      <c r="C77" t="s">
        <v>68</v>
      </c>
      <c r="D77" t="s">
        <v>849</v>
      </c>
      <c r="E77" s="136"/>
    </row>
    <row r="78" spans="3:4" ht="12.75">
      <c r="C78" s="136" t="s">
        <v>70</v>
      </c>
      <c r="D78" t="s">
        <v>850</v>
      </c>
    </row>
    <row r="79" spans="3:5" ht="12.75">
      <c r="C79" s="2" t="s">
        <v>192</v>
      </c>
      <c r="D79" t="s">
        <v>1025</v>
      </c>
      <c r="E79" s="105">
        <f>B18+C50</f>
        <v>2012.8</v>
      </c>
    </row>
    <row r="80" spans="3:4" ht="12.75">
      <c r="C80" s="2" t="s">
        <v>193</v>
      </c>
      <c r="D80" t="s">
        <v>1027</v>
      </c>
    </row>
    <row r="81" spans="3:5" ht="12.75">
      <c r="C81" s="2" t="s">
        <v>89</v>
      </c>
      <c r="D81" t="s">
        <v>854</v>
      </c>
      <c r="E81" s="136"/>
    </row>
    <row r="82" spans="3:5" ht="12.75">
      <c r="C82" s="136" t="s">
        <v>124</v>
      </c>
      <c r="D82" t="s">
        <v>846</v>
      </c>
      <c r="E82" s="136">
        <f>C7+C9+C17+C47+C48+C8</f>
        <v>10163.204399999999</v>
      </c>
    </row>
    <row r="83" spans="5:6" ht="12.75">
      <c r="E83" s="136">
        <f>SUM(E70:E82)</f>
        <v>24496.458</v>
      </c>
      <c r="F83" s="227">
        <f>E83-B69</f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outlinePr summaryBelow="0"/>
  </sheetPr>
  <dimension ref="A2:F81"/>
  <sheetViews>
    <sheetView workbookViewId="0" topLeftCell="A1">
      <selection activeCell="D82" sqref="D82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1064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1078</v>
      </c>
      <c r="E7" s="2" t="s">
        <v>124</v>
      </c>
    </row>
    <row r="8" spans="2:5" ht="12.75" outlineLevel="1">
      <c r="B8" s="105"/>
      <c r="C8" s="136">
        <v>2188.19</v>
      </c>
      <c r="D8" t="s">
        <v>1079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C15</f>
        <v>325.1</v>
      </c>
      <c r="E10" s="2"/>
    </row>
    <row r="11" spans="2:5" ht="12.75" outlineLevel="1">
      <c r="B11" s="105"/>
      <c r="C11" s="136">
        <v>141.68</v>
      </c>
      <c r="D11" t="s">
        <v>1082</v>
      </c>
      <c r="E11" s="2" t="s">
        <v>124</v>
      </c>
    </row>
    <row r="12" spans="2:5" ht="12.75" outlineLevel="1">
      <c r="B12" s="105"/>
      <c r="C12" s="136">
        <v>141.68</v>
      </c>
      <c r="D12" t="s">
        <v>1083</v>
      </c>
      <c r="E12" s="2" t="s">
        <v>124</v>
      </c>
    </row>
    <row r="13" spans="2:5" ht="12.75" outlineLevel="1">
      <c r="B13" s="105"/>
      <c r="C13" s="136">
        <v>20.87</v>
      </c>
      <c r="D13" t="s">
        <v>1084</v>
      </c>
      <c r="E13" s="2" t="s">
        <v>124</v>
      </c>
    </row>
    <row r="14" spans="2:5" ht="12.75" outlineLevel="1">
      <c r="B14" s="105"/>
      <c r="C14" s="136">
        <v>20.87</v>
      </c>
      <c r="D14" t="s">
        <v>1085</v>
      </c>
      <c r="E14" s="2" t="s">
        <v>124</v>
      </c>
    </row>
    <row r="15" spans="2:5" ht="12.75" outlineLevel="1">
      <c r="B15" s="105"/>
      <c r="C15" s="136">
        <f>SUM(C11:C14)</f>
        <v>325.1</v>
      </c>
      <c r="D15" t="s">
        <v>358</v>
      </c>
      <c r="E15" s="2"/>
    </row>
    <row r="16" spans="1:5" ht="12.75">
      <c r="A16" t="s">
        <v>917</v>
      </c>
      <c r="B16" s="105">
        <f>C19</f>
        <v>2720</v>
      </c>
      <c r="E16" s="2"/>
    </row>
    <row r="17" spans="2:5" ht="12.75" outlineLevel="1">
      <c r="B17" s="105"/>
      <c r="C17" s="136">
        <v>1360</v>
      </c>
      <c r="D17" t="s">
        <v>1080</v>
      </c>
      <c r="E17" s="2"/>
    </row>
    <row r="18" spans="2:5" ht="12.75" outlineLevel="1">
      <c r="B18" s="105"/>
      <c r="C18" s="136">
        <v>1360</v>
      </c>
      <c r="D18" t="s">
        <v>1081</v>
      </c>
      <c r="E18" s="2"/>
    </row>
    <row r="19" spans="2:5" ht="12.75" outlineLevel="1">
      <c r="B19" s="105"/>
      <c r="C19" s="136">
        <f>SUM(C17:C18)</f>
        <v>2720</v>
      </c>
      <c r="D19" t="s">
        <v>358</v>
      </c>
      <c r="E19" s="2" t="s">
        <v>192</v>
      </c>
    </row>
    <row r="20" spans="1:5" ht="12.75">
      <c r="A20" t="s">
        <v>1086</v>
      </c>
      <c r="B20" s="105">
        <f>C21</f>
        <v>36</v>
      </c>
      <c r="E20" s="2"/>
    </row>
    <row r="21" spans="2:5" ht="12.75" outlineLevel="1">
      <c r="B21" s="105"/>
      <c r="C21" s="136">
        <v>36</v>
      </c>
      <c r="D21" t="s">
        <v>1087</v>
      </c>
      <c r="E21" s="2"/>
    </row>
    <row r="22" spans="1:5" ht="12.75">
      <c r="A22" t="s">
        <v>503</v>
      </c>
      <c r="B22" s="105">
        <f>C24</f>
        <v>149</v>
      </c>
      <c r="E22" s="2"/>
    </row>
    <row r="23" spans="2:5" ht="12.75" outlineLevel="1">
      <c r="B23" s="105"/>
      <c r="C23" s="136">
        <v>149</v>
      </c>
      <c r="D23" t="s">
        <v>1088</v>
      </c>
      <c r="E23" s="2" t="s">
        <v>370</v>
      </c>
    </row>
    <row r="24" spans="2:6" s="68" customFormat="1" ht="12.75" outlineLevel="1">
      <c r="B24" s="154"/>
      <c r="C24" s="151">
        <f>SUM(C23:C23)</f>
        <v>149</v>
      </c>
      <c r="D24" s="2"/>
      <c r="F24" s="228"/>
    </row>
    <row r="25" spans="1:6" s="68" customFormat="1" ht="12.75">
      <c r="A25" t="s">
        <v>504</v>
      </c>
      <c r="B25" s="156">
        <f>C30</f>
        <v>4731.969999999999</v>
      </c>
      <c r="C25" s="151"/>
      <c r="D25" s="2"/>
      <c r="F25" s="228"/>
    </row>
    <row r="26" spans="1:6" s="68" customFormat="1" ht="12.75" outlineLevel="1">
      <c r="A26"/>
      <c r="B26" s="156"/>
      <c r="C26" s="151">
        <v>1119.73</v>
      </c>
      <c r="D26" s="2" t="s">
        <v>1089</v>
      </c>
      <c r="E26" s="2" t="s">
        <v>370</v>
      </c>
      <c r="F26" s="228"/>
    </row>
    <row r="27" spans="1:6" s="68" customFormat="1" ht="12.75" outlineLevel="1">
      <c r="A27"/>
      <c r="B27" s="156"/>
      <c r="C27" s="151">
        <v>2480.37</v>
      </c>
      <c r="D27" s="2" t="s">
        <v>1090</v>
      </c>
      <c r="E27" s="2" t="s">
        <v>370</v>
      </c>
      <c r="F27" s="228"/>
    </row>
    <row r="28" spans="1:6" s="68" customFormat="1" ht="12.75" outlineLevel="1">
      <c r="A28"/>
      <c r="B28" s="156"/>
      <c r="C28" s="151">
        <v>1121.87</v>
      </c>
      <c r="D28" s="2" t="s">
        <v>1091</v>
      </c>
      <c r="E28" s="2" t="s">
        <v>370</v>
      </c>
      <c r="F28" s="228"/>
    </row>
    <row r="29" spans="1:6" s="68" customFormat="1" ht="12.75" outlineLevel="1">
      <c r="A29"/>
      <c r="B29" s="156"/>
      <c r="C29" s="151">
        <v>10</v>
      </c>
      <c r="D29" s="2" t="s">
        <v>1092</v>
      </c>
      <c r="E29" s="2" t="s">
        <v>370</v>
      </c>
      <c r="F29" s="228"/>
    </row>
    <row r="30" spans="1:6" s="68" customFormat="1" ht="12.75" outlineLevel="1">
      <c r="A30"/>
      <c r="B30" s="154"/>
      <c r="C30" s="151">
        <f>SUM(C26:C29)</f>
        <v>4731.969999999999</v>
      </c>
      <c r="D30" s="2"/>
      <c r="F30" s="228"/>
    </row>
    <row r="31" spans="1:5" ht="12.75">
      <c r="A31" t="s">
        <v>439</v>
      </c>
      <c r="B31" s="105">
        <f>SUM(B6:B30)</f>
        <v>12338.45</v>
      </c>
      <c r="E31" s="2"/>
    </row>
    <row r="32" spans="2:5" ht="12.75">
      <c r="B32" s="105"/>
      <c r="E32" s="2"/>
    </row>
    <row r="33" spans="2:5" ht="12.75">
      <c r="B33" s="105"/>
      <c r="E33" s="2"/>
    </row>
    <row r="34" spans="2:5" ht="12.75">
      <c r="B34" s="105"/>
      <c r="E34" s="2"/>
    </row>
    <row r="35" spans="1:5" ht="12.75">
      <c r="A35" t="s">
        <v>507</v>
      </c>
      <c r="B35" s="105">
        <f>C42</f>
        <v>5922.456</v>
      </c>
      <c r="E35" s="2"/>
    </row>
    <row r="36" spans="2:5" ht="12.75" outlineLevel="1">
      <c r="B36" s="105"/>
      <c r="C36" s="136">
        <f>$B$4*C9</f>
        <v>2100.6624</v>
      </c>
      <c r="D36" t="s">
        <v>591</v>
      </c>
      <c r="E36" s="2" t="s">
        <v>124</v>
      </c>
    </row>
    <row r="37" spans="2:5" ht="12.75" outlineLevel="1">
      <c r="B37" s="105"/>
      <c r="C37" s="136">
        <f>$B$4*C15</f>
        <v>156.048</v>
      </c>
      <c r="D37" t="s">
        <v>500</v>
      </c>
      <c r="E37" s="2" t="s">
        <v>124</v>
      </c>
    </row>
    <row r="38" spans="2:5" ht="12.75" outlineLevel="1">
      <c r="B38" s="105"/>
      <c r="C38" s="136">
        <f>$B$4*C19</f>
        <v>1305.6</v>
      </c>
      <c r="D38" t="s">
        <v>917</v>
      </c>
      <c r="E38" s="2" t="s">
        <v>192</v>
      </c>
    </row>
    <row r="39" spans="2:5" ht="12.75" outlineLevel="1">
      <c r="B39" s="105"/>
      <c r="C39" s="136">
        <f>$B$4*C21</f>
        <v>17.28</v>
      </c>
      <c r="D39" t="s">
        <v>1086</v>
      </c>
      <c r="E39" s="2" t="s">
        <v>370</v>
      </c>
    </row>
    <row r="40" spans="2:5" ht="12.75" outlineLevel="1">
      <c r="B40" s="105"/>
      <c r="C40" s="136">
        <f>$B$4*C24</f>
        <v>71.52</v>
      </c>
      <c r="D40" t="s">
        <v>503</v>
      </c>
      <c r="E40" s="2" t="s">
        <v>370</v>
      </c>
    </row>
    <row r="41" spans="2:5" ht="12.75" outlineLevel="1">
      <c r="B41" s="105"/>
      <c r="C41" s="136">
        <f>$B$4*C30</f>
        <v>2271.3455999999996</v>
      </c>
      <c r="D41" t="s">
        <v>504</v>
      </c>
      <c r="E41" s="2" t="s">
        <v>370</v>
      </c>
    </row>
    <row r="42" spans="2:3" ht="12.75" outlineLevel="1">
      <c r="B42" s="105"/>
      <c r="C42" s="136">
        <f>SUM(C36:C41)</f>
        <v>5922.456</v>
      </c>
    </row>
    <row r="43" spans="1:2" ht="12.75">
      <c r="A43" t="s">
        <v>509</v>
      </c>
      <c r="B43" s="105">
        <f>B31+B35</f>
        <v>18260.906000000003</v>
      </c>
    </row>
    <row r="44" ht="12.75">
      <c r="B44" s="105"/>
    </row>
    <row r="45" spans="1:5" ht="12.75">
      <c r="A45" t="s">
        <v>594</v>
      </c>
      <c r="B45" s="105">
        <f>C51</f>
        <v>14781.030000000002</v>
      </c>
      <c r="E45" s="2"/>
    </row>
    <row r="46" spans="2:5" ht="12.75" outlineLevel="1">
      <c r="B46" s="105"/>
      <c r="C46" s="136">
        <v>3008.09</v>
      </c>
      <c r="D46" t="s">
        <v>1093</v>
      </c>
      <c r="E46" s="188" t="s">
        <v>192</v>
      </c>
    </row>
    <row r="47" spans="2:5" ht="12.75" outlineLevel="1">
      <c r="B47" s="105"/>
      <c r="C47" s="137">
        <v>2025.13</v>
      </c>
      <c r="D47" t="s">
        <v>1094</v>
      </c>
      <c r="E47" s="188" t="s">
        <v>192</v>
      </c>
    </row>
    <row r="48" spans="2:5" ht="12.75" outlineLevel="1">
      <c r="B48" s="105"/>
      <c r="C48" s="136">
        <v>3411.5</v>
      </c>
      <c r="D48" t="s">
        <v>1095</v>
      </c>
      <c r="E48" s="188" t="s">
        <v>192</v>
      </c>
    </row>
    <row r="49" spans="2:5" ht="12.75" outlineLevel="1">
      <c r="B49" s="105"/>
      <c r="C49" s="136">
        <v>6315.81</v>
      </c>
      <c r="D49" t="s">
        <v>1096</v>
      </c>
      <c r="E49" s="188" t="s">
        <v>193</v>
      </c>
    </row>
    <row r="50" spans="2:5" ht="12.75" outlineLevel="1">
      <c r="B50" s="105"/>
      <c r="C50" s="136">
        <v>20.5</v>
      </c>
      <c r="D50" t="s">
        <v>1097</v>
      </c>
      <c r="E50" s="188" t="s">
        <v>193</v>
      </c>
    </row>
    <row r="51" spans="2:5" ht="12.75" outlineLevel="1">
      <c r="B51" s="105"/>
      <c r="C51" s="105">
        <f>SUM(C46:C50)</f>
        <v>14781.030000000002</v>
      </c>
      <c r="E51" s="2"/>
    </row>
    <row r="52" spans="1:5" ht="12.75">
      <c r="A52" t="s">
        <v>368</v>
      </c>
      <c r="B52" s="105">
        <f>B45</f>
        <v>14781.030000000002</v>
      </c>
      <c r="C52" s="105"/>
      <c r="E52" s="2"/>
    </row>
    <row r="53" spans="2:5" ht="12.75">
      <c r="B53" s="105"/>
      <c r="C53" s="105"/>
      <c r="E53" s="2"/>
    </row>
    <row r="54" spans="1:2" ht="12.75">
      <c r="A54" t="s">
        <v>415</v>
      </c>
      <c r="B54" s="105">
        <f>B52+B43</f>
        <v>33041.936</v>
      </c>
    </row>
    <row r="55" ht="12.75">
      <c r="B55" s="105"/>
    </row>
    <row r="56" spans="3:4" ht="12.75">
      <c r="C56" s="188" t="s">
        <v>429</v>
      </c>
      <c r="D56" s="188" t="s">
        <v>1024</v>
      </c>
    </row>
    <row r="57" spans="3:5" ht="12.75">
      <c r="C57" s="188" t="s">
        <v>370</v>
      </c>
      <c r="D57" s="188" t="s">
        <v>367</v>
      </c>
      <c r="E57" s="136">
        <f>C24+C30+C40+C41+C39+C21</f>
        <v>7277.115599999999</v>
      </c>
    </row>
    <row r="58" spans="3:4" ht="12.75">
      <c r="C58" s="188" t="s">
        <v>182</v>
      </c>
      <c r="D58" s="188" t="s">
        <v>855</v>
      </c>
    </row>
    <row r="59" spans="3:4" ht="12.75">
      <c r="C59" s="188" t="s">
        <v>187</v>
      </c>
      <c r="D59" s="189" t="s">
        <v>1779</v>
      </c>
    </row>
    <row r="60" spans="3:4" ht="12.75">
      <c r="C60" s="188" t="s">
        <v>189</v>
      </c>
      <c r="D60" s="106" t="s">
        <v>851</v>
      </c>
    </row>
    <row r="61" spans="3:4" ht="12.75">
      <c r="C61" s="106" t="s">
        <v>190</v>
      </c>
      <c r="D61" s="106" t="s">
        <v>852</v>
      </c>
    </row>
    <row r="62" spans="3:5" ht="12.75">
      <c r="C62" s="188" t="s">
        <v>192</v>
      </c>
      <c r="D62" s="200" t="s">
        <v>1025</v>
      </c>
      <c r="E62" s="136">
        <f>C46+C47+C48+B16+C38</f>
        <v>12470.320000000002</v>
      </c>
    </row>
    <row r="63" spans="3:5" ht="12.75">
      <c r="C63" s="188" t="s">
        <v>193</v>
      </c>
      <c r="D63" s="200" t="s">
        <v>1026</v>
      </c>
      <c r="E63" s="136">
        <f>C49+C50</f>
        <v>6336.31</v>
      </c>
    </row>
    <row r="64" spans="3:4" ht="12.75">
      <c r="C64" s="188" t="s">
        <v>195</v>
      </c>
      <c r="D64" s="200" t="s">
        <v>1029</v>
      </c>
    </row>
    <row r="65" spans="3:4" ht="12.75">
      <c r="C65" s="188" t="s">
        <v>196</v>
      </c>
      <c r="D65" s="200" t="s">
        <v>1030</v>
      </c>
    </row>
    <row r="66" spans="3:4" ht="12.75">
      <c r="C66" s="188" t="s">
        <v>198</v>
      </c>
      <c r="D66" s="200" t="s">
        <v>1099</v>
      </c>
    </row>
    <row r="67" spans="3:4" ht="12.75">
      <c r="C67" s="188" t="s">
        <v>199</v>
      </c>
      <c r="D67" s="200" t="s">
        <v>1100</v>
      </c>
    </row>
    <row r="68" spans="3:4" ht="12.75">
      <c r="C68" s="188" t="s">
        <v>200</v>
      </c>
      <c r="D68" s="200" t="s">
        <v>1101</v>
      </c>
    </row>
    <row r="69" spans="3:4" ht="12.75">
      <c r="C69" s="188" t="s">
        <v>17</v>
      </c>
      <c r="D69" s="200" t="s">
        <v>18</v>
      </c>
    </row>
    <row r="70" spans="3:4" ht="12.75">
      <c r="C70" s="106" t="s">
        <v>60</v>
      </c>
      <c r="D70" s="106" t="s">
        <v>847</v>
      </c>
    </row>
    <row r="71" spans="3:4" ht="12.75">
      <c r="C71" s="106" t="s">
        <v>62</v>
      </c>
      <c r="D71" s="106" t="s">
        <v>848</v>
      </c>
    </row>
    <row r="72" spans="3:4" ht="12.75">
      <c r="C72" s="106" t="s">
        <v>64</v>
      </c>
      <c r="D72" s="106" t="s">
        <v>853</v>
      </c>
    </row>
    <row r="73" spans="3:4" ht="12.75">
      <c r="C73" s="188" t="s">
        <v>68</v>
      </c>
      <c r="D73" s="106" t="s">
        <v>849</v>
      </c>
    </row>
    <row r="74" spans="3:4" ht="12.75">
      <c r="C74" s="188" t="s">
        <v>70</v>
      </c>
      <c r="D74" s="106" t="s">
        <v>850</v>
      </c>
    </row>
    <row r="75" spans="3:4" ht="12.75">
      <c r="C75" s="188" t="s">
        <v>89</v>
      </c>
      <c r="D75" s="106" t="s">
        <v>854</v>
      </c>
    </row>
    <row r="76" spans="3:5" ht="12.75">
      <c r="C76" s="106" t="s">
        <v>124</v>
      </c>
      <c r="D76" s="106" t="s">
        <v>846</v>
      </c>
      <c r="E76" s="136">
        <f>B6+B10+C36+C37</f>
        <v>6958.1904</v>
      </c>
    </row>
    <row r="77" spans="3:4" ht="12.75">
      <c r="C77" s="106" t="s">
        <v>1033</v>
      </c>
      <c r="D77" s="106" t="s">
        <v>1102</v>
      </c>
    </row>
    <row r="78" spans="3:4" ht="12.75">
      <c r="C78" s="106" t="s">
        <v>1062</v>
      </c>
      <c r="D78" s="106" t="s">
        <v>1103</v>
      </c>
    </row>
    <row r="79" spans="3:4" ht="12.75">
      <c r="C79" s="106" t="s">
        <v>1104</v>
      </c>
      <c r="D79" s="106" t="s">
        <v>1105</v>
      </c>
    </row>
    <row r="80" spans="4:5" ht="12.75">
      <c r="D80" s="200" t="s">
        <v>358</v>
      </c>
      <c r="E80" s="136">
        <f>SUM(E56:E79)</f>
        <v>33041.936</v>
      </c>
    </row>
    <row r="81" spans="4:5" ht="12.75">
      <c r="D81" s="200" t="s">
        <v>1106</v>
      </c>
      <c r="E81" s="105">
        <f>B54-E80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G71"/>
  <sheetViews>
    <sheetView workbookViewId="0" topLeftCell="A1">
      <selection activeCell="E46" sqref="E46:E69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454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600</v>
      </c>
      <c r="B6" s="136">
        <v>2164.33</v>
      </c>
      <c r="E6" s="2"/>
    </row>
    <row r="7" spans="2:5" ht="12.75" outlineLevel="1">
      <c r="B7" s="105"/>
      <c r="C7" s="136">
        <v>2164.33</v>
      </c>
      <c r="D7" t="s">
        <v>601</v>
      </c>
      <c r="E7" s="2" t="s">
        <v>189</v>
      </c>
    </row>
    <row r="8" spans="1:5" ht="12.75">
      <c r="A8" t="s">
        <v>503</v>
      </c>
      <c r="B8" s="136">
        <v>2401.73</v>
      </c>
      <c r="E8" s="2"/>
    </row>
    <row r="9" spans="2:5" ht="12.75" outlineLevel="1">
      <c r="B9" s="105"/>
      <c r="C9" s="136">
        <v>440</v>
      </c>
      <c r="D9" t="s">
        <v>602</v>
      </c>
      <c r="E9" s="2" t="s">
        <v>370</v>
      </c>
    </row>
    <row r="10" spans="2:5" ht="12.75" outlineLevel="1">
      <c r="B10" s="105"/>
      <c r="C10" s="136">
        <v>148.96</v>
      </c>
      <c r="D10" t="s">
        <v>603</v>
      </c>
      <c r="E10" s="2" t="s">
        <v>370</v>
      </c>
    </row>
    <row r="11" spans="2:5" ht="12.75" outlineLevel="1">
      <c r="B11" s="105"/>
      <c r="C11" s="136">
        <v>598.77</v>
      </c>
      <c r="D11" t="s">
        <v>603</v>
      </c>
      <c r="E11" s="2" t="s">
        <v>370</v>
      </c>
    </row>
    <row r="12" spans="2:5" ht="12.75" outlineLevel="1">
      <c r="B12" s="105"/>
      <c r="C12" s="136">
        <v>326</v>
      </c>
      <c r="D12" t="s">
        <v>605</v>
      </c>
      <c r="E12" s="2" t="s">
        <v>370</v>
      </c>
    </row>
    <row r="13" spans="2:5" ht="12.75" outlineLevel="1">
      <c r="B13" s="105"/>
      <c r="C13" s="136">
        <v>305</v>
      </c>
      <c r="D13" t="s">
        <v>605</v>
      </c>
      <c r="E13" s="2" t="s">
        <v>370</v>
      </c>
    </row>
    <row r="14" spans="2:5" ht="12.75" outlineLevel="1">
      <c r="B14" s="105"/>
      <c r="C14" s="136">
        <v>245</v>
      </c>
      <c r="D14" t="s">
        <v>605</v>
      </c>
      <c r="E14" s="2" t="s">
        <v>370</v>
      </c>
    </row>
    <row r="15" spans="2:5" ht="12.75" outlineLevel="1">
      <c r="B15" s="105"/>
      <c r="C15" s="136">
        <v>338</v>
      </c>
      <c r="D15" t="s">
        <v>604</v>
      </c>
      <c r="E15" s="2" t="s">
        <v>370</v>
      </c>
    </row>
    <row r="16" spans="2:5" ht="12.75" outlineLevel="1">
      <c r="B16" s="105"/>
      <c r="C16" s="136">
        <f>SUM(C9:C15)</f>
        <v>2401.73</v>
      </c>
      <c r="E16" s="2"/>
    </row>
    <row r="17" spans="1:5" ht="12.75">
      <c r="A17" t="s">
        <v>439</v>
      </c>
      <c r="B17" s="105">
        <f>SUM(B6:B16)</f>
        <v>4566.0599999999995</v>
      </c>
      <c r="E17" s="2"/>
    </row>
    <row r="18" spans="2:5" ht="12.75">
      <c r="B18" s="105"/>
      <c r="E18" s="2"/>
    </row>
    <row r="19" spans="1:5" ht="12.75">
      <c r="A19" t="s">
        <v>611</v>
      </c>
      <c r="B19" s="105">
        <v>2191.7088</v>
      </c>
      <c r="E19" s="2"/>
    </row>
    <row r="20" spans="2:5" ht="12.75" outlineLevel="1">
      <c r="B20" s="105"/>
      <c r="C20" s="136">
        <f>$B$4*C7</f>
        <v>1038.8783999999998</v>
      </c>
      <c r="D20" t="s">
        <v>600</v>
      </c>
      <c r="E20" s="2" t="s">
        <v>189</v>
      </c>
    </row>
    <row r="21" spans="2:5" ht="12.75" outlineLevel="1">
      <c r="B21" s="105"/>
      <c r="C21" s="136">
        <f>$B$4*C16</f>
        <v>1152.8304</v>
      </c>
      <c r="D21" t="s">
        <v>503</v>
      </c>
      <c r="E21" s="2" t="s">
        <v>370</v>
      </c>
    </row>
    <row r="22" spans="2:5" ht="12.75" outlineLevel="1">
      <c r="B22" s="105"/>
      <c r="C22" s="136">
        <f>SUM(C20:C21)</f>
        <v>2191.7088</v>
      </c>
      <c r="E22" s="2"/>
    </row>
    <row r="23" spans="2:5" ht="12.75">
      <c r="B23" s="105"/>
      <c r="E23" s="2"/>
    </row>
    <row r="24" spans="1:5" ht="12.75">
      <c r="A24" t="s">
        <v>612</v>
      </c>
      <c r="B24" s="105">
        <f>B17+B19</f>
        <v>6757.7688</v>
      </c>
      <c r="E24" s="2"/>
    </row>
    <row r="25" spans="2:5" ht="12.75">
      <c r="B25" s="105"/>
      <c r="E25" s="2"/>
    </row>
    <row r="26" spans="1:5" ht="12.75">
      <c r="A26" t="s">
        <v>396</v>
      </c>
      <c r="B26" s="136">
        <v>10558.38</v>
      </c>
      <c r="E26" s="2"/>
    </row>
    <row r="27" spans="2:5" ht="12.75" outlineLevel="1">
      <c r="B27" s="105"/>
      <c r="C27" s="136">
        <v>2427.04</v>
      </c>
      <c r="D27" t="s">
        <v>613</v>
      </c>
      <c r="E27" s="2" t="s">
        <v>68</v>
      </c>
    </row>
    <row r="28" spans="2:5" ht="12.75" outlineLevel="1">
      <c r="B28" s="105"/>
      <c r="C28" s="136">
        <v>2009.46</v>
      </c>
      <c r="D28" t="s">
        <v>614</v>
      </c>
      <c r="E28" s="2" t="s">
        <v>68</v>
      </c>
    </row>
    <row r="29" spans="2:5" ht="12.75" outlineLevel="1">
      <c r="B29" s="105"/>
      <c r="C29" s="136">
        <v>876.65</v>
      </c>
      <c r="D29" t="s">
        <v>615</v>
      </c>
      <c r="E29" s="2" t="s">
        <v>68</v>
      </c>
    </row>
    <row r="30" spans="2:5" ht="12.75" outlineLevel="1">
      <c r="B30" s="105"/>
      <c r="C30" s="136">
        <v>2276.41</v>
      </c>
      <c r="D30" t="s">
        <v>616</v>
      </c>
      <c r="E30" s="2" t="s">
        <v>68</v>
      </c>
    </row>
    <row r="31" spans="2:7" ht="12.75" outlineLevel="1">
      <c r="B31" s="105"/>
      <c r="C31" s="143">
        <v>383.75</v>
      </c>
      <c r="D31" s="153" t="s">
        <v>617</v>
      </c>
      <c r="E31" s="2" t="s">
        <v>70</v>
      </c>
      <c r="F31" s="139"/>
      <c r="G31" s="140"/>
    </row>
    <row r="32" spans="2:5" ht="12.75" outlineLevel="1">
      <c r="B32" s="105"/>
      <c r="C32" s="136">
        <v>26.24</v>
      </c>
      <c r="D32" t="s">
        <v>607</v>
      </c>
      <c r="E32" s="2" t="s">
        <v>187</v>
      </c>
    </row>
    <row r="33" spans="2:5" ht="12.75" outlineLevel="1">
      <c r="B33" s="105"/>
      <c r="C33" s="136">
        <v>120.94</v>
      </c>
      <c r="D33" t="s">
        <v>608</v>
      </c>
      <c r="E33" s="2" t="s">
        <v>187</v>
      </c>
    </row>
    <row r="34" spans="2:5" ht="12.75" outlineLevel="1">
      <c r="B34" s="105"/>
      <c r="C34" s="136">
        <v>177</v>
      </c>
      <c r="D34" t="s">
        <v>609</v>
      </c>
      <c r="E34" s="2" t="s">
        <v>187</v>
      </c>
    </row>
    <row r="35" spans="2:5" ht="12.75" outlineLevel="1">
      <c r="B35" s="105"/>
      <c r="C35" s="136">
        <v>2260.89</v>
      </c>
      <c r="D35" t="s">
        <v>610</v>
      </c>
      <c r="E35" s="2" t="s">
        <v>187</v>
      </c>
    </row>
    <row r="36" spans="2:5" ht="12.75" outlineLevel="1">
      <c r="B36" s="105"/>
      <c r="C36" s="136">
        <f>SUM(C27:C35)</f>
        <v>10558.379999999997</v>
      </c>
      <c r="E36" s="2"/>
    </row>
    <row r="37" spans="1:5" ht="12.75">
      <c r="A37" t="s">
        <v>368</v>
      </c>
      <c r="B37" s="105">
        <f>SUM(B26:B36)</f>
        <v>10558.38</v>
      </c>
      <c r="E37" s="2"/>
    </row>
    <row r="38" spans="2:5" ht="12.75">
      <c r="B38" s="105"/>
      <c r="E38" s="2"/>
    </row>
    <row r="39" spans="2:5" ht="12.75">
      <c r="B39" s="105"/>
      <c r="E39" s="2"/>
    </row>
    <row r="40" spans="1:2" ht="12.75">
      <c r="A40" t="s">
        <v>415</v>
      </c>
      <c r="B40" s="105">
        <f>B24+B37</f>
        <v>17316.1488</v>
      </c>
    </row>
    <row r="41" ht="12.75">
      <c r="B41" s="105"/>
    </row>
    <row r="42" spans="1:2" ht="12.75">
      <c r="A42" t="s">
        <v>416</v>
      </c>
      <c r="B42" s="105">
        <v>0</v>
      </c>
    </row>
    <row r="43" ht="12.75">
      <c r="B43" s="105"/>
    </row>
    <row r="44" spans="1:2" ht="12.75">
      <c r="A44" t="s">
        <v>417</v>
      </c>
      <c r="B44" s="105">
        <f>B40-B42</f>
        <v>17316.1488</v>
      </c>
    </row>
    <row r="45" ht="12.75">
      <c r="B45" s="105"/>
    </row>
    <row r="46" spans="1:5" ht="12.75">
      <c r="A46" s="2"/>
      <c r="C46" s="271" t="s">
        <v>429</v>
      </c>
      <c r="D46" s="271" t="s">
        <v>1024</v>
      </c>
      <c r="E46" s="136"/>
    </row>
    <row r="47" spans="1:5" ht="12.75">
      <c r="A47" s="2"/>
      <c r="C47" s="271" t="s">
        <v>370</v>
      </c>
      <c r="D47" s="271" t="s">
        <v>367</v>
      </c>
      <c r="E47" s="136">
        <f>C21+C15+C14+C13+C12+C11+C10+C9</f>
        <v>3554.5604</v>
      </c>
    </row>
    <row r="48" spans="1:5" ht="12.75">
      <c r="A48" s="2"/>
      <c r="C48" s="271" t="s">
        <v>182</v>
      </c>
      <c r="D48" s="271" t="s">
        <v>855</v>
      </c>
      <c r="E48" s="136"/>
    </row>
    <row r="49" spans="1:5" ht="12.75">
      <c r="A49" s="2"/>
      <c r="C49" s="271" t="s">
        <v>187</v>
      </c>
      <c r="D49" s="293" t="s">
        <v>1779</v>
      </c>
      <c r="E49" s="136">
        <f>SUM(C32:C35)</f>
        <v>2585.0699999999997</v>
      </c>
    </row>
    <row r="50" spans="1:5" ht="12.75">
      <c r="A50" s="2"/>
      <c r="C50" s="271" t="s">
        <v>189</v>
      </c>
      <c r="D50" s="271" t="s">
        <v>851</v>
      </c>
      <c r="E50" s="136">
        <f>C20+C7</f>
        <v>3203.2083999999995</v>
      </c>
    </row>
    <row r="51" spans="2:5" ht="12.75">
      <c r="B51" s="136"/>
      <c r="C51" s="200" t="s">
        <v>190</v>
      </c>
      <c r="D51" s="200" t="s">
        <v>852</v>
      </c>
      <c r="E51" s="136"/>
    </row>
    <row r="52" spans="3:5" ht="12.75">
      <c r="C52" s="271" t="s">
        <v>192</v>
      </c>
      <c r="D52" s="271" t="s">
        <v>1025</v>
      </c>
      <c r="E52" s="136"/>
    </row>
    <row r="53" spans="2:5" ht="12.75">
      <c r="B53" s="136"/>
      <c r="C53" s="271" t="s">
        <v>193</v>
      </c>
      <c r="D53" s="200" t="s">
        <v>1026</v>
      </c>
      <c r="E53" s="136"/>
    </row>
    <row r="54" spans="2:5" ht="12.75">
      <c r="B54" s="136"/>
      <c r="C54" s="271" t="s">
        <v>195</v>
      </c>
      <c r="D54" s="271" t="s">
        <v>1029</v>
      </c>
      <c r="E54" s="136"/>
    </row>
    <row r="55" spans="3:5" ht="12.75">
      <c r="C55" s="271" t="s">
        <v>196</v>
      </c>
      <c r="D55" s="200" t="s">
        <v>1030</v>
      </c>
      <c r="E55" s="136"/>
    </row>
    <row r="56" spans="3:5" ht="12.75">
      <c r="C56" s="271" t="s">
        <v>198</v>
      </c>
      <c r="D56" s="200" t="s">
        <v>1099</v>
      </c>
      <c r="E56" s="136"/>
    </row>
    <row r="57" spans="3:5" ht="12.75">
      <c r="C57" s="271" t="s">
        <v>199</v>
      </c>
      <c r="D57" s="271" t="s">
        <v>1100</v>
      </c>
      <c r="E57" s="136"/>
    </row>
    <row r="58" spans="3:5" ht="12.75">
      <c r="C58" s="271" t="s">
        <v>200</v>
      </c>
      <c r="D58" s="200" t="s">
        <v>1101</v>
      </c>
      <c r="E58" s="136"/>
    </row>
    <row r="59" spans="3:5" ht="12.75">
      <c r="C59" s="271" t="s">
        <v>17</v>
      </c>
      <c r="D59" s="200" t="s">
        <v>18</v>
      </c>
      <c r="E59" s="136"/>
    </row>
    <row r="60" spans="3:5" ht="12.75">
      <c r="C60" s="271" t="s">
        <v>60</v>
      </c>
      <c r="D60" s="271" t="s">
        <v>847</v>
      </c>
      <c r="E60" s="136"/>
    </row>
    <row r="61" spans="3:5" ht="12.75">
      <c r="C61" s="200" t="s">
        <v>62</v>
      </c>
      <c r="D61" s="200" t="s">
        <v>848</v>
      </c>
      <c r="E61" s="136"/>
    </row>
    <row r="62" spans="3:5" ht="12.75">
      <c r="C62" s="200" t="s">
        <v>64</v>
      </c>
      <c r="D62" s="200" t="s">
        <v>853</v>
      </c>
      <c r="E62" s="136"/>
    </row>
    <row r="63" spans="3:5" ht="12.75">
      <c r="C63" s="271" t="s">
        <v>68</v>
      </c>
      <c r="D63" s="271" t="s">
        <v>849</v>
      </c>
      <c r="E63" s="136">
        <f>C27+C28+C29+C30</f>
        <v>7589.5599999999995</v>
      </c>
    </row>
    <row r="64" spans="3:5" ht="12.75">
      <c r="C64" s="271" t="s">
        <v>70</v>
      </c>
      <c r="D64" s="200" t="s">
        <v>850</v>
      </c>
      <c r="E64" s="136">
        <f>C31</f>
        <v>383.75</v>
      </c>
    </row>
    <row r="65" spans="3:5" ht="12.75">
      <c r="C65" s="271" t="s">
        <v>89</v>
      </c>
      <c r="D65" s="200" t="s">
        <v>854</v>
      </c>
      <c r="E65" s="136"/>
    </row>
    <row r="66" spans="3:5" ht="12.75">
      <c r="C66" s="200" t="s">
        <v>124</v>
      </c>
      <c r="D66" s="200" t="s">
        <v>846</v>
      </c>
      <c r="E66" s="136"/>
    </row>
    <row r="67" spans="3:5" ht="12.75">
      <c r="C67" s="200" t="s">
        <v>1033</v>
      </c>
      <c r="D67" s="200" t="s">
        <v>1102</v>
      </c>
      <c r="E67" s="136"/>
    </row>
    <row r="68" spans="3:5" ht="12.75">
      <c r="C68" s="200" t="s">
        <v>1062</v>
      </c>
      <c r="D68" s="200" t="s">
        <v>1103</v>
      </c>
      <c r="E68" s="136"/>
    </row>
    <row r="69" spans="3:5" ht="12.75">
      <c r="C69" s="200" t="s">
        <v>1104</v>
      </c>
      <c r="D69" s="200" t="s">
        <v>1105</v>
      </c>
      <c r="E69" s="136"/>
    </row>
    <row r="70" spans="3:5" ht="12.75">
      <c r="C70" s="294"/>
      <c r="D70" s="200" t="s">
        <v>237</v>
      </c>
      <c r="E70" s="136">
        <f>SUM(E46:E69)</f>
        <v>17316.1488</v>
      </c>
    </row>
    <row r="71" spans="4:5" ht="12.75">
      <c r="D71" s="200" t="s">
        <v>1106</v>
      </c>
      <c r="E71" s="136">
        <f>E70-B40</f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outlinePr summaryBelow="0"/>
  </sheetPr>
  <dimension ref="A2:F79"/>
  <sheetViews>
    <sheetView workbookViewId="0" topLeftCell="A4">
      <selection activeCell="E54" sqref="E54:E7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1107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1108</v>
      </c>
      <c r="E7" s="2" t="s">
        <v>124</v>
      </c>
    </row>
    <row r="8" spans="2:5" ht="12.75" outlineLevel="1">
      <c r="B8" s="105"/>
      <c r="C8" s="136">
        <v>2188.19</v>
      </c>
      <c r="D8" t="s">
        <v>1109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C15</f>
        <v>408.49</v>
      </c>
      <c r="E10" s="2"/>
    </row>
    <row r="11" spans="2:5" ht="12.75" outlineLevel="1">
      <c r="B11" s="105"/>
      <c r="C11" s="136">
        <v>141.68</v>
      </c>
      <c r="D11" t="s">
        <v>1112</v>
      </c>
      <c r="E11" s="2" t="s">
        <v>124</v>
      </c>
    </row>
    <row r="12" spans="2:5" ht="12.75" outlineLevel="1">
      <c r="B12" s="105"/>
      <c r="C12" s="136">
        <v>225.07</v>
      </c>
      <c r="D12" t="s">
        <v>1113</v>
      </c>
      <c r="E12" s="2" t="s">
        <v>124</v>
      </c>
    </row>
    <row r="13" spans="2:5" ht="12.75" outlineLevel="1">
      <c r="B13" s="105"/>
      <c r="C13" s="136">
        <v>20.87</v>
      </c>
      <c r="D13" t="s">
        <v>1114</v>
      </c>
      <c r="E13" s="2" t="s">
        <v>124</v>
      </c>
    </row>
    <row r="14" spans="2:5" ht="12.75" outlineLevel="1">
      <c r="B14" s="105"/>
      <c r="C14" s="136">
        <v>20.87</v>
      </c>
      <c r="D14" t="s">
        <v>1115</v>
      </c>
      <c r="E14" s="2" t="s">
        <v>124</v>
      </c>
    </row>
    <row r="15" spans="2:5" ht="12.75" outlineLevel="1">
      <c r="B15" s="105"/>
      <c r="C15" s="136">
        <f>SUM(C11:C14)</f>
        <v>408.49</v>
      </c>
      <c r="D15" t="s">
        <v>358</v>
      </c>
      <c r="E15" s="2"/>
    </row>
    <row r="16" spans="1:5" ht="12.75">
      <c r="A16" t="s">
        <v>917</v>
      </c>
      <c r="B16" s="105">
        <f>C19</f>
        <v>2720</v>
      </c>
      <c r="E16" s="2"/>
    </row>
    <row r="17" spans="2:5" ht="12.75" outlineLevel="1">
      <c r="B17" s="105"/>
      <c r="C17" s="136">
        <v>1360</v>
      </c>
      <c r="D17" t="s">
        <v>1110</v>
      </c>
      <c r="E17" s="2" t="s">
        <v>192</v>
      </c>
    </row>
    <row r="18" spans="2:5" ht="12.75" outlineLevel="1">
      <c r="B18" s="105"/>
      <c r="C18" s="136">
        <v>1360</v>
      </c>
      <c r="D18" t="s">
        <v>1111</v>
      </c>
      <c r="E18" s="2" t="s">
        <v>192</v>
      </c>
    </row>
    <row r="19" spans="2:4" ht="12.75" outlineLevel="1">
      <c r="B19" s="105"/>
      <c r="C19" s="136">
        <f>SUM(C17:C18)</f>
        <v>2720</v>
      </c>
      <c r="D19" t="s">
        <v>358</v>
      </c>
    </row>
    <row r="20" spans="1:6" s="68" customFormat="1" ht="12.75">
      <c r="A20" t="s">
        <v>504</v>
      </c>
      <c r="B20" s="156">
        <f>C23</f>
        <v>1325.72</v>
      </c>
      <c r="C20" s="151"/>
      <c r="D20" s="2"/>
      <c r="F20" s="228"/>
    </row>
    <row r="21" spans="1:6" s="68" customFormat="1" ht="12.75" outlineLevel="1">
      <c r="A21"/>
      <c r="B21" s="156"/>
      <c r="C21" s="151">
        <v>1060.47</v>
      </c>
      <c r="D21" s="2" t="s">
        <v>1116</v>
      </c>
      <c r="E21" s="2" t="s">
        <v>370</v>
      </c>
      <c r="F21" s="228"/>
    </row>
    <row r="22" spans="1:6" s="68" customFormat="1" ht="12.75" outlineLevel="1">
      <c r="A22"/>
      <c r="B22" s="156"/>
      <c r="C22" s="151">
        <v>265.25</v>
      </c>
      <c r="D22" s="2" t="s">
        <v>1116</v>
      </c>
      <c r="E22" s="2" t="s">
        <v>370</v>
      </c>
      <c r="F22" s="228"/>
    </row>
    <row r="23" spans="1:6" s="68" customFormat="1" ht="12.75" outlineLevel="1">
      <c r="A23"/>
      <c r="B23" s="154"/>
      <c r="C23" s="151">
        <f>SUM(C21:C22)</f>
        <v>1325.72</v>
      </c>
      <c r="D23" s="2"/>
      <c r="F23" s="228"/>
    </row>
    <row r="24" spans="1:5" ht="12.75">
      <c r="A24" t="s">
        <v>885</v>
      </c>
      <c r="B24" s="105">
        <f>C27</f>
        <v>10759.63</v>
      </c>
      <c r="E24" s="2"/>
    </row>
    <row r="25" spans="2:6" s="68" customFormat="1" ht="12.75">
      <c r="B25" s="154"/>
      <c r="C25" s="136">
        <v>8086.74</v>
      </c>
      <c r="D25" t="s">
        <v>1117</v>
      </c>
      <c r="E25" s="106" t="s">
        <v>429</v>
      </c>
      <c r="F25" s="228"/>
    </row>
    <row r="26" spans="2:6" s="68" customFormat="1" ht="12.75">
      <c r="B26" s="154"/>
      <c r="C26" s="136">
        <v>2672.89</v>
      </c>
      <c r="D26" t="s">
        <v>1117</v>
      </c>
      <c r="E26" s="106" t="s">
        <v>429</v>
      </c>
      <c r="F26" s="228"/>
    </row>
    <row r="27" spans="2:6" s="68" customFormat="1" ht="12.75">
      <c r="B27" s="154"/>
      <c r="C27" s="136">
        <f>SUM(C25:C26)</f>
        <v>10759.63</v>
      </c>
      <c r="D27"/>
      <c r="E27" s="106"/>
      <c r="F27" s="228"/>
    </row>
    <row r="28" spans="1:5" ht="12.75">
      <c r="A28" t="s">
        <v>439</v>
      </c>
      <c r="B28" s="105">
        <f>SUM(B6:B24)</f>
        <v>19590.22</v>
      </c>
      <c r="E28" s="2"/>
    </row>
    <row r="29" spans="2:5" ht="12.75">
      <c r="B29" s="105"/>
      <c r="E29" s="2"/>
    </row>
    <row r="30" spans="2:5" ht="12.75">
      <c r="B30" s="105"/>
      <c r="E30" s="2"/>
    </row>
    <row r="31" spans="2:5" ht="12.75">
      <c r="B31" s="105"/>
      <c r="E31" s="2"/>
    </row>
    <row r="32" spans="1:5" ht="12.75">
      <c r="A32" t="s">
        <v>507</v>
      </c>
      <c r="B32" s="105">
        <f>C38</f>
        <v>9403.3056</v>
      </c>
      <c r="E32" s="2"/>
    </row>
    <row r="33" spans="2:5" ht="12.75" outlineLevel="1">
      <c r="B33" s="105"/>
      <c r="C33" s="136">
        <f>$B$4*C9</f>
        <v>2100.6624</v>
      </c>
      <c r="D33" t="s">
        <v>591</v>
      </c>
      <c r="E33" s="2" t="s">
        <v>124</v>
      </c>
    </row>
    <row r="34" spans="2:5" ht="12.75" outlineLevel="1">
      <c r="B34" s="105"/>
      <c r="C34" s="136">
        <f>$B$4*C15</f>
        <v>196.0752</v>
      </c>
      <c r="D34" t="s">
        <v>500</v>
      </c>
      <c r="E34" s="2" t="s">
        <v>124</v>
      </c>
    </row>
    <row r="35" spans="2:5" ht="12.75" outlineLevel="1">
      <c r="B35" s="105"/>
      <c r="C35" s="136">
        <f>$B$4*B24</f>
        <v>5164.622399999999</v>
      </c>
      <c r="D35" t="s">
        <v>885</v>
      </c>
      <c r="E35" s="106" t="s">
        <v>429</v>
      </c>
    </row>
    <row r="36" spans="2:5" ht="12.75" outlineLevel="1">
      <c r="B36" s="105"/>
      <c r="C36" s="136">
        <f>$B$4*C19</f>
        <v>1305.6</v>
      </c>
      <c r="D36" t="s">
        <v>917</v>
      </c>
      <c r="E36" s="2" t="s">
        <v>192</v>
      </c>
    </row>
    <row r="37" spans="2:5" ht="12.75" outlineLevel="1">
      <c r="B37" s="105"/>
      <c r="C37" s="136">
        <f>$B$4*C23</f>
        <v>636.3456</v>
      </c>
      <c r="D37" t="s">
        <v>504</v>
      </c>
      <c r="E37" s="2" t="s">
        <v>370</v>
      </c>
    </row>
    <row r="38" spans="2:3" ht="12.75" outlineLevel="1">
      <c r="B38" s="105"/>
      <c r="C38" s="136">
        <f>SUM(C33:C37)</f>
        <v>9403.3056</v>
      </c>
    </row>
    <row r="39" spans="1:2" ht="12.75">
      <c r="A39" t="s">
        <v>509</v>
      </c>
      <c r="B39" s="105">
        <f>B28+B32</f>
        <v>28993.5256</v>
      </c>
    </row>
    <row r="40" ht="12.75">
      <c r="B40" s="105"/>
    </row>
    <row r="41" spans="1:5" ht="12.75">
      <c r="A41" t="s">
        <v>594</v>
      </c>
      <c r="B41" s="105">
        <f>C49</f>
        <v>20845.63</v>
      </c>
      <c r="E41" s="2"/>
    </row>
    <row r="42" spans="2:5" ht="12.75" outlineLevel="1">
      <c r="B42" s="105"/>
      <c r="C42" s="136">
        <v>1346.81</v>
      </c>
      <c r="D42" t="s">
        <v>1118</v>
      </c>
      <c r="E42" s="188" t="s">
        <v>193</v>
      </c>
    </row>
    <row r="43" spans="2:5" ht="12.75" outlineLevel="1">
      <c r="B43" s="105"/>
      <c r="C43" s="137">
        <v>1355</v>
      </c>
      <c r="D43" t="s">
        <v>1119</v>
      </c>
      <c r="E43" s="188" t="s">
        <v>193</v>
      </c>
    </row>
    <row r="44" spans="2:5" ht="12.75" outlineLevel="1">
      <c r="B44" s="105"/>
      <c r="C44" s="136">
        <v>615.7</v>
      </c>
      <c r="D44" t="s">
        <v>1097</v>
      </c>
      <c r="E44" s="188" t="s">
        <v>192</v>
      </c>
    </row>
    <row r="45" spans="2:5" ht="12.75" outlineLevel="1">
      <c r="B45" s="105"/>
      <c r="C45" s="136">
        <v>10.04</v>
      </c>
      <c r="D45" t="s">
        <v>1120</v>
      </c>
      <c r="E45" s="188" t="s">
        <v>192</v>
      </c>
    </row>
    <row r="46" spans="2:5" ht="12.75" outlineLevel="1">
      <c r="B46" s="105"/>
      <c r="C46" s="136">
        <v>206</v>
      </c>
      <c r="D46" t="s">
        <v>1121</v>
      </c>
      <c r="E46" s="188" t="s">
        <v>192</v>
      </c>
    </row>
    <row r="47" spans="2:5" ht="12.75" outlineLevel="1">
      <c r="B47" s="105"/>
      <c r="C47" s="136">
        <v>8987.78</v>
      </c>
      <c r="D47" t="s">
        <v>1122</v>
      </c>
      <c r="E47" s="188" t="s">
        <v>192</v>
      </c>
    </row>
    <row r="48" spans="2:5" ht="12.75" outlineLevel="1">
      <c r="B48" s="105"/>
      <c r="C48" s="136">
        <v>8324.3</v>
      </c>
      <c r="D48" t="s">
        <v>1123</v>
      </c>
      <c r="E48" s="188" t="s">
        <v>192</v>
      </c>
    </row>
    <row r="49" spans="2:5" ht="12.75" outlineLevel="1">
      <c r="B49" s="105"/>
      <c r="C49" s="105">
        <f>SUM(C42:C48)</f>
        <v>20845.63</v>
      </c>
      <c r="E49" s="2"/>
    </row>
    <row r="50" spans="1:5" ht="12.75">
      <c r="A50" t="s">
        <v>368</v>
      </c>
      <c r="B50" s="105">
        <f>B41</f>
        <v>20845.63</v>
      </c>
      <c r="C50" s="105"/>
      <c r="E50" s="2"/>
    </row>
    <row r="51" spans="2:5" ht="12.75">
      <c r="B51" s="105"/>
      <c r="C51" s="105"/>
      <c r="E51" s="2"/>
    </row>
    <row r="52" spans="1:2" ht="12.75">
      <c r="A52" t="s">
        <v>415</v>
      </c>
      <c r="B52" s="105">
        <f>B50+B39</f>
        <v>49839.1556</v>
      </c>
    </row>
    <row r="53" ht="12.75">
      <c r="B53" s="105"/>
    </row>
    <row r="54" spans="3:5" ht="12.75">
      <c r="C54" s="188" t="s">
        <v>429</v>
      </c>
      <c r="D54" s="188" t="s">
        <v>1024</v>
      </c>
      <c r="E54" s="136">
        <f>C27+C35</f>
        <v>15924.252399999998</v>
      </c>
    </row>
    <row r="55" spans="3:5" ht="12.75">
      <c r="C55" s="188" t="s">
        <v>370</v>
      </c>
      <c r="D55" s="188" t="s">
        <v>367</v>
      </c>
      <c r="E55" s="136">
        <f>B20+C37</f>
        <v>1962.0656</v>
      </c>
    </row>
    <row r="56" spans="3:4" ht="12.75">
      <c r="C56" s="188" t="s">
        <v>182</v>
      </c>
      <c r="D56" s="188" t="s">
        <v>855</v>
      </c>
    </row>
    <row r="57" spans="3:4" ht="12.75">
      <c r="C57" s="188" t="s">
        <v>187</v>
      </c>
      <c r="D57" s="189" t="s">
        <v>1779</v>
      </c>
    </row>
    <row r="58" spans="3:4" ht="12.75">
      <c r="C58" s="188" t="s">
        <v>189</v>
      </c>
      <c r="D58" s="106" t="s">
        <v>851</v>
      </c>
    </row>
    <row r="59" spans="3:4" ht="12.75">
      <c r="C59" s="106" t="s">
        <v>190</v>
      </c>
      <c r="D59" s="106" t="s">
        <v>852</v>
      </c>
    </row>
    <row r="60" spans="3:4" ht="12.75">
      <c r="C60" s="188" t="s">
        <v>192</v>
      </c>
      <c r="D60" s="200" t="s">
        <v>1025</v>
      </c>
    </row>
    <row r="61" spans="3:5" ht="12.75">
      <c r="C61" s="188" t="s">
        <v>193</v>
      </c>
      <c r="D61" s="200" t="s">
        <v>1026</v>
      </c>
      <c r="E61" s="136">
        <f>C43+C42</f>
        <v>2701.81</v>
      </c>
    </row>
    <row r="62" spans="3:5" ht="12.75">
      <c r="C62" s="188" t="s">
        <v>195</v>
      </c>
      <c r="D62" s="200" t="s">
        <v>1029</v>
      </c>
      <c r="E62" s="136">
        <f>C45+C46+C44+B16+C36+C47+C48</f>
        <v>22169.42</v>
      </c>
    </row>
    <row r="63" spans="3:4" ht="12.75">
      <c r="C63" s="188" t="s">
        <v>196</v>
      </c>
      <c r="D63" s="200" t="s">
        <v>1030</v>
      </c>
    </row>
    <row r="64" spans="3:4" ht="12.75">
      <c r="C64" s="188" t="s">
        <v>198</v>
      </c>
      <c r="D64" s="200" t="s">
        <v>1099</v>
      </c>
    </row>
    <row r="65" spans="3:4" ht="12.75">
      <c r="C65" s="188" t="s">
        <v>199</v>
      </c>
      <c r="D65" s="200" t="s">
        <v>1100</v>
      </c>
    </row>
    <row r="66" spans="3:4" ht="12.75">
      <c r="C66" s="188" t="s">
        <v>200</v>
      </c>
      <c r="D66" s="200" t="s">
        <v>1101</v>
      </c>
    </row>
    <row r="67" spans="3:4" ht="12.75">
      <c r="C67" s="188" t="s">
        <v>17</v>
      </c>
      <c r="D67" s="200" t="s">
        <v>18</v>
      </c>
    </row>
    <row r="68" spans="3:4" ht="12.75">
      <c r="C68" s="106" t="s">
        <v>60</v>
      </c>
      <c r="D68" s="106" t="s">
        <v>847</v>
      </c>
    </row>
    <row r="69" spans="3:4" ht="12.75">
      <c r="C69" s="106" t="s">
        <v>62</v>
      </c>
      <c r="D69" s="106" t="s">
        <v>848</v>
      </c>
    </row>
    <row r="70" spans="3:4" ht="12.75">
      <c r="C70" s="106" t="s">
        <v>64</v>
      </c>
      <c r="D70" s="106" t="s">
        <v>853</v>
      </c>
    </row>
    <row r="71" spans="3:4" ht="12.75">
      <c r="C71" s="188" t="s">
        <v>68</v>
      </c>
      <c r="D71" s="106" t="s">
        <v>849</v>
      </c>
    </row>
    <row r="72" spans="3:4" ht="12.75">
      <c r="C72" s="188" t="s">
        <v>70</v>
      </c>
      <c r="D72" s="106" t="s">
        <v>850</v>
      </c>
    </row>
    <row r="73" spans="3:4" ht="12.75">
      <c r="C73" s="188" t="s">
        <v>89</v>
      </c>
      <c r="D73" s="106" t="s">
        <v>854</v>
      </c>
    </row>
    <row r="74" spans="3:5" ht="12.75">
      <c r="C74" s="106" t="s">
        <v>124</v>
      </c>
      <c r="D74" s="106" t="s">
        <v>846</v>
      </c>
      <c r="E74" s="136">
        <f>B6+B10+C33+C34</f>
        <v>7081.6076</v>
      </c>
    </row>
    <row r="75" spans="3:4" ht="12.75">
      <c r="C75" s="106" t="s">
        <v>1033</v>
      </c>
      <c r="D75" s="106" t="s">
        <v>1102</v>
      </c>
    </row>
    <row r="76" spans="3:4" ht="12.75">
      <c r="C76" s="106" t="s">
        <v>1062</v>
      </c>
      <c r="D76" s="106" t="s">
        <v>1103</v>
      </c>
    </row>
    <row r="77" spans="3:4" ht="12.75">
      <c r="C77" s="106" t="s">
        <v>1104</v>
      </c>
      <c r="D77" s="106" t="s">
        <v>1105</v>
      </c>
    </row>
    <row r="78" spans="4:5" ht="12.75">
      <c r="D78" s="200" t="s">
        <v>358</v>
      </c>
      <c r="E78" s="136">
        <f>SUM(E54:E77)</f>
        <v>49839.1556</v>
      </c>
    </row>
    <row r="79" spans="4:5" ht="12.75">
      <c r="D79" s="200" t="s">
        <v>1106</v>
      </c>
      <c r="E79" s="105">
        <f>B52-E78</f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outlinePr summaryBelow="0"/>
  </sheetPr>
  <dimension ref="A2:G86"/>
  <sheetViews>
    <sheetView workbookViewId="0" topLeftCell="A13">
      <selection activeCell="E63" sqref="E6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1124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1125</v>
      </c>
      <c r="E7" s="2" t="s">
        <v>124</v>
      </c>
    </row>
    <row r="8" spans="2:5" ht="12.75" outlineLevel="1">
      <c r="B8" s="105"/>
      <c r="C8" s="136">
        <v>2188.19</v>
      </c>
      <c r="D8" t="s">
        <v>1126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C17</f>
        <v>822.0899999999999</v>
      </c>
      <c r="E10" s="2"/>
    </row>
    <row r="11" spans="2:5" ht="12.75" outlineLevel="1">
      <c r="B11" s="105"/>
      <c r="C11" s="136">
        <v>206.8</v>
      </c>
      <c r="D11" t="s">
        <v>1128</v>
      </c>
      <c r="E11" s="2" t="s">
        <v>124</v>
      </c>
    </row>
    <row r="12" spans="2:5" ht="12.75" outlineLevel="1">
      <c r="B12" s="105"/>
      <c r="C12" s="136">
        <v>206.8</v>
      </c>
      <c r="D12" t="s">
        <v>1129</v>
      </c>
      <c r="E12" s="2" t="s">
        <v>124</v>
      </c>
    </row>
    <row r="13" spans="2:5" ht="12.75" outlineLevel="1">
      <c r="B13" s="105"/>
      <c r="C13" s="136">
        <v>141.68</v>
      </c>
      <c r="D13" t="s">
        <v>1130</v>
      </c>
      <c r="E13" s="2" t="s">
        <v>124</v>
      </c>
    </row>
    <row r="14" spans="2:5" ht="12.75" outlineLevel="1">
      <c r="B14" s="105"/>
      <c r="C14" s="136">
        <v>225.07</v>
      </c>
      <c r="D14" t="s">
        <v>1131</v>
      </c>
      <c r="E14" s="2" t="s">
        <v>124</v>
      </c>
    </row>
    <row r="15" spans="2:5" ht="12.75" outlineLevel="1">
      <c r="B15" s="105"/>
      <c r="C15" s="136">
        <v>20.87</v>
      </c>
      <c r="D15" t="s">
        <v>1132</v>
      </c>
      <c r="E15" s="2" t="s">
        <v>124</v>
      </c>
    </row>
    <row r="16" spans="2:5" ht="12.75" outlineLevel="1">
      <c r="B16" s="105"/>
      <c r="C16" s="136">
        <v>20.87</v>
      </c>
      <c r="D16" t="s">
        <v>1133</v>
      </c>
      <c r="E16" s="2" t="s">
        <v>124</v>
      </c>
    </row>
    <row r="17" spans="2:5" ht="12.75" outlineLevel="1">
      <c r="B17" s="105"/>
      <c r="C17" s="136">
        <f>SUM(C11:C16)</f>
        <v>822.0899999999999</v>
      </c>
      <c r="D17" t="s">
        <v>358</v>
      </c>
      <c r="E17" s="2"/>
    </row>
    <row r="18" spans="1:5" ht="12.75">
      <c r="A18" t="s">
        <v>499</v>
      </c>
      <c r="B18" s="105">
        <f>C21</f>
        <v>1816.71</v>
      </c>
      <c r="E18" s="2"/>
    </row>
    <row r="19" spans="2:5" ht="12.75" outlineLevel="1">
      <c r="B19" s="105"/>
      <c r="C19" s="136">
        <v>1211.14</v>
      </c>
      <c r="D19" t="s">
        <v>1143</v>
      </c>
      <c r="E19" s="2" t="s">
        <v>192</v>
      </c>
    </row>
    <row r="20" spans="2:5" ht="12.75" outlineLevel="1">
      <c r="B20" s="105"/>
      <c r="C20" s="136">
        <v>605.57</v>
      </c>
      <c r="D20" t="s">
        <v>1144</v>
      </c>
      <c r="E20" s="2" t="s">
        <v>192</v>
      </c>
    </row>
    <row r="21" spans="2:4" ht="12.75" outlineLevel="1">
      <c r="B21" s="105"/>
      <c r="C21" s="136">
        <f>SUM(C19:C20)</f>
        <v>1816.71</v>
      </c>
      <c r="D21" t="s">
        <v>358</v>
      </c>
    </row>
    <row r="22" spans="1:5" ht="12.75">
      <c r="A22" t="s">
        <v>917</v>
      </c>
      <c r="B22" s="105">
        <f>C24</f>
        <v>680</v>
      </c>
      <c r="E22" s="2"/>
    </row>
    <row r="23" spans="2:5" ht="12.75" outlineLevel="1">
      <c r="B23" s="105"/>
      <c r="C23" s="136">
        <v>680</v>
      </c>
      <c r="D23" t="s">
        <v>1127</v>
      </c>
      <c r="E23" s="2" t="s">
        <v>192</v>
      </c>
    </row>
    <row r="24" spans="2:4" ht="12.75" outlineLevel="1">
      <c r="B24" s="105"/>
      <c r="C24" s="136">
        <f>SUM(C23:C23)</f>
        <v>680</v>
      </c>
      <c r="D24" t="s">
        <v>358</v>
      </c>
    </row>
    <row r="25" spans="1:2" ht="12.75">
      <c r="A25" t="s">
        <v>1142</v>
      </c>
      <c r="B25" s="105">
        <f>C26</f>
        <v>2890</v>
      </c>
    </row>
    <row r="26" spans="2:7" ht="12.75" outlineLevel="1">
      <c r="B26" s="105"/>
      <c r="C26" s="136">
        <v>2890</v>
      </c>
      <c r="D26" t="s">
        <v>1145</v>
      </c>
      <c r="E26" s="188" t="s">
        <v>187</v>
      </c>
      <c r="F26" s="106" t="s">
        <v>60</v>
      </c>
      <c r="G26" s="188" t="s">
        <v>89</v>
      </c>
    </row>
    <row r="27" spans="1:2" ht="12.75">
      <c r="A27" t="s">
        <v>1134</v>
      </c>
      <c r="B27" s="105">
        <f>C28</f>
        <v>230.3</v>
      </c>
    </row>
    <row r="28" spans="2:5" ht="12.75" outlineLevel="1">
      <c r="B28" s="105"/>
      <c r="C28" s="136">
        <v>230.3</v>
      </c>
      <c r="D28" t="s">
        <v>1135</v>
      </c>
      <c r="E28" s="2" t="s">
        <v>370</v>
      </c>
    </row>
    <row r="29" spans="1:6" s="68" customFormat="1" ht="12.75">
      <c r="A29" t="s">
        <v>504</v>
      </c>
      <c r="B29" s="156">
        <f>C31</f>
        <v>4.5</v>
      </c>
      <c r="C29" s="151"/>
      <c r="D29" s="2"/>
      <c r="F29" s="228"/>
    </row>
    <row r="30" spans="1:6" s="68" customFormat="1" ht="12.75" outlineLevel="1">
      <c r="A30"/>
      <c r="B30" s="156"/>
      <c r="C30" s="151">
        <v>4.5</v>
      </c>
      <c r="D30" s="2" t="s">
        <v>1139</v>
      </c>
      <c r="E30" s="2" t="s">
        <v>370</v>
      </c>
      <c r="F30" s="228"/>
    </row>
    <row r="31" spans="1:6" s="68" customFormat="1" ht="12.75" outlineLevel="1">
      <c r="A31"/>
      <c r="B31" s="154"/>
      <c r="C31" s="151">
        <f>SUM(C30:C30)</f>
        <v>4.5</v>
      </c>
      <c r="D31" s="2"/>
      <c r="F31" s="228"/>
    </row>
    <row r="32" spans="1:5" ht="12.75">
      <c r="A32" t="s">
        <v>885</v>
      </c>
      <c r="B32" s="105">
        <f>C35</f>
        <v>-10759.63</v>
      </c>
      <c r="E32" s="2"/>
    </row>
    <row r="33" spans="2:6" s="68" customFormat="1" ht="12.75" outlineLevel="1">
      <c r="B33" s="154"/>
      <c r="C33" s="136">
        <v>-8086.74</v>
      </c>
      <c r="D33" t="s">
        <v>1117</v>
      </c>
      <c r="E33" s="106" t="s">
        <v>429</v>
      </c>
      <c r="F33" s="228"/>
    </row>
    <row r="34" spans="2:6" s="68" customFormat="1" ht="12.75" outlineLevel="1">
      <c r="B34" s="154"/>
      <c r="C34" s="136">
        <v>-2672.89</v>
      </c>
      <c r="D34" t="s">
        <v>1117</v>
      </c>
      <c r="E34" s="106" t="s">
        <v>429</v>
      </c>
      <c r="F34" s="228"/>
    </row>
    <row r="35" spans="2:6" s="68" customFormat="1" ht="12.75" outlineLevel="1">
      <c r="B35" s="154"/>
      <c r="C35" s="136">
        <f>SUM(C33:C34)</f>
        <v>-10759.63</v>
      </c>
      <c r="D35"/>
      <c r="E35" s="106"/>
      <c r="F35" s="228"/>
    </row>
    <row r="36" spans="1:6" s="68" customFormat="1" ht="12.75">
      <c r="A36" s="2" t="s">
        <v>518</v>
      </c>
      <c r="B36" s="156">
        <f>C37</f>
        <v>23.9</v>
      </c>
      <c r="C36" s="136"/>
      <c r="D36"/>
      <c r="E36" s="106"/>
      <c r="F36" s="228"/>
    </row>
    <row r="37" spans="1:6" s="68" customFormat="1" ht="12.75" outlineLevel="1">
      <c r="A37" s="2"/>
      <c r="B37" s="156"/>
      <c r="C37" s="136">
        <v>23.9</v>
      </c>
      <c r="D37" t="s">
        <v>1140</v>
      </c>
      <c r="E37" s="188" t="s">
        <v>193</v>
      </c>
      <c r="F37" s="228"/>
    </row>
    <row r="38" spans="1:5" ht="12.75">
      <c r="A38" t="s">
        <v>439</v>
      </c>
      <c r="B38" s="105">
        <f>SUM(B6:B36)</f>
        <v>84.25000000000037</v>
      </c>
      <c r="E38" s="2"/>
    </row>
    <row r="39" spans="2:5" ht="12.75">
      <c r="B39" s="105"/>
      <c r="E39" s="2"/>
    </row>
    <row r="40" spans="2:5" ht="12.75">
      <c r="B40" s="105"/>
      <c r="E40" s="2"/>
    </row>
    <row r="41" spans="2:5" ht="12.75">
      <c r="B41" s="105"/>
      <c r="E41" s="2"/>
    </row>
    <row r="42" spans="1:5" ht="12.75">
      <c r="A42" t="s">
        <v>507</v>
      </c>
      <c r="B42" s="105">
        <f>C51</f>
        <v>-1346.7599999999993</v>
      </c>
      <c r="E42" s="2"/>
    </row>
    <row r="43" spans="2:5" ht="12.75" outlineLevel="1">
      <c r="B43" s="105"/>
      <c r="C43" s="136">
        <f>$B$4*B6</f>
        <v>2100.6624</v>
      </c>
      <c r="D43" t="s">
        <v>591</v>
      </c>
      <c r="E43" s="2" t="s">
        <v>124</v>
      </c>
    </row>
    <row r="44" spans="2:6" ht="12.75" outlineLevel="1">
      <c r="B44" s="105"/>
      <c r="C44" s="136">
        <f>$B$4*B10</f>
        <v>394.60319999999996</v>
      </c>
      <c r="D44" t="s">
        <v>500</v>
      </c>
      <c r="E44" s="2" t="s">
        <v>124</v>
      </c>
      <c r="F44" s="227">
        <v>1</v>
      </c>
    </row>
    <row r="45" spans="2:5" ht="12.75" outlineLevel="1">
      <c r="B45" s="105"/>
      <c r="C45" s="136">
        <f>$B$4*B18</f>
        <v>872.0208</v>
      </c>
      <c r="D45" t="s">
        <v>499</v>
      </c>
      <c r="E45" s="2" t="s">
        <v>192</v>
      </c>
    </row>
    <row r="46" spans="2:5" ht="12.75" outlineLevel="1">
      <c r="B46" s="105"/>
      <c r="C46" s="136">
        <f>$B$4*B22</f>
        <v>326.4</v>
      </c>
      <c r="D46" t="s">
        <v>917</v>
      </c>
      <c r="E46" s="2" t="s">
        <v>192</v>
      </c>
    </row>
    <row r="47" spans="2:5" ht="12.75" outlineLevel="1">
      <c r="B47" s="105"/>
      <c r="C47" s="136">
        <f>$B$4*B36</f>
        <v>11.472</v>
      </c>
      <c r="D47" s="2" t="s">
        <v>518</v>
      </c>
      <c r="E47" s="188" t="s">
        <v>193</v>
      </c>
    </row>
    <row r="48" spans="2:6" ht="12.75" outlineLevel="1">
      <c r="B48" s="105"/>
      <c r="C48" s="136">
        <f>$B$4*B27</f>
        <v>110.544</v>
      </c>
      <c r="D48" t="s">
        <v>1134</v>
      </c>
      <c r="E48" s="2" t="s">
        <v>370</v>
      </c>
      <c r="F48" s="227">
        <v>1</v>
      </c>
    </row>
    <row r="49" spans="2:6" ht="12.75" outlineLevel="1">
      <c r="B49" s="105"/>
      <c r="C49" s="136">
        <f>$B$4*B29</f>
        <v>2.16</v>
      </c>
      <c r="D49" t="s">
        <v>504</v>
      </c>
      <c r="E49" s="2" t="s">
        <v>370</v>
      </c>
      <c r="F49" s="227">
        <v>1</v>
      </c>
    </row>
    <row r="50" spans="2:5" ht="12.75" outlineLevel="1">
      <c r="B50" s="105"/>
      <c r="C50" s="136">
        <f>$B$4*B32</f>
        <v>-5164.622399999999</v>
      </c>
      <c r="D50" t="s">
        <v>885</v>
      </c>
      <c r="E50" s="106" t="s">
        <v>429</v>
      </c>
    </row>
    <row r="51" spans="2:4" ht="12.75" outlineLevel="1">
      <c r="B51" s="105"/>
      <c r="C51" s="136">
        <f>SUM(C43:C50)</f>
        <v>-1346.7599999999993</v>
      </c>
      <c r="D51" t="s">
        <v>237</v>
      </c>
    </row>
    <row r="52" spans="1:2" ht="12.75">
      <c r="A52" t="s">
        <v>509</v>
      </c>
      <c r="B52" s="105">
        <f>B38+B42</f>
        <v>-1262.5099999999989</v>
      </c>
    </row>
    <row r="53" ht="12.75">
      <c r="B53" s="105"/>
    </row>
    <row r="54" spans="1:5" ht="12.75">
      <c r="A54" t="s">
        <v>594</v>
      </c>
      <c r="B54" s="105">
        <f>C56</f>
        <v>1073.56</v>
      </c>
      <c r="E54" s="2"/>
    </row>
    <row r="55" spans="2:5" ht="12.75" outlineLevel="1">
      <c r="B55" s="105"/>
      <c r="C55" s="136">
        <v>1073.56</v>
      </c>
      <c r="D55" t="s">
        <v>1141</v>
      </c>
      <c r="E55" s="188" t="s">
        <v>193</v>
      </c>
    </row>
    <row r="56" spans="2:5" ht="12.75" outlineLevel="1">
      <c r="B56" s="105"/>
      <c r="C56" s="105">
        <f>SUM(C55:C55)</f>
        <v>1073.56</v>
      </c>
      <c r="E56" s="2"/>
    </row>
    <row r="57" spans="1:5" ht="12.75">
      <c r="A57" t="s">
        <v>368</v>
      </c>
      <c r="B57" s="105">
        <f>B54</f>
        <v>1073.56</v>
      </c>
      <c r="C57" s="105"/>
      <c r="E57" s="2"/>
    </row>
    <row r="58" spans="2:5" ht="12.75">
      <c r="B58" s="105"/>
      <c r="C58" s="105"/>
      <c r="E58" s="2"/>
    </row>
    <row r="59" spans="1:2" ht="12.75">
      <c r="A59" t="s">
        <v>415</v>
      </c>
      <c r="B59" s="105">
        <f>B57+B52</f>
        <v>-188.9499999999989</v>
      </c>
    </row>
    <row r="60" ht="12.75">
      <c r="B60" s="105"/>
    </row>
    <row r="61" spans="3:5" ht="12.75">
      <c r="C61" s="188" t="s">
        <v>429</v>
      </c>
      <c r="D61" s="188" t="s">
        <v>1024</v>
      </c>
      <c r="E61" s="136">
        <f>C35+C50</f>
        <v>-15924.252399999998</v>
      </c>
    </row>
    <row r="62" spans="3:5" ht="12.75">
      <c r="C62" s="188" t="s">
        <v>370</v>
      </c>
      <c r="D62" s="188" t="s">
        <v>367</v>
      </c>
      <c r="E62" s="136">
        <f>B27+B29+C48+C49</f>
        <v>347.504</v>
      </c>
    </row>
    <row r="63" spans="3:4" ht="12.75">
      <c r="C63" s="188" t="s">
        <v>182</v>
      </c>
      <c r="D63" s="188" t="s">
        <v>855</v>
      </c>
    </row>
    <row r="64" spans="3:6" ht="12.75">
      <c r="C64" s="188" t="s">
        <v>187</v>
      </c>
      <c r="D64" s="189" t="s">
        <v>1779</v>
      </c>
      <c r="E64" s="199">
        <v>351.27520000000004</v>
      </c>
      <c r="F64" s="105">
        <f>B25</f>
        <v>2890</v>
      </c>
    </row>
    <row r="65" spans="3:4" ht="12.75">
      <c r="C65" s="188" t="s">
        <v>189</v>
      </c>
      <c r="D65" s="106" t="s">
        <v>851</v>
      </c>
    </row>
    <row r="66" spans="3:4" ht="12.75">
      <c r="C66" s="106" t="s">
        <v>190</v>
      </c>
      <c r="D66" s="106" t="s">
        <v>852</v>
      </c>
    </row>
    <row r="67" spans="3:5" ht="12.75">
      <c r="C67" s="188" t="s">
        <v>192</v>
      </c>
      <c r="D67" s="200" t="s">
        <v>1025</v>
      </c>
      <c r="E67" s="105">
        <f>B18+C45+C46+B22</f>
        <v>3695.1308000000004</v>
      </c>
    </row>
    <row r="68" spans="3:5" ht="12.75">
      <c r="C68" s="188" t="s">
        <v>193</v>
      </c>
      <c r="D68" s="200" t="s">
        <v>1026</v>
      </c>
      <c r="E68" s="136">
        <f>B54+C47+B36</f>
        <v>1108.932</v>
      </c>
    </row>
    <row r="69" spans="3:5" ht="12.75">
      <c r="C69" s="188" t="s">
        <v>195</v>
      </c>
      <c r="D69" s="200" t="s">
        <v>1029</v>
      </c>
      <c r="E69" s="136"/>
    </row>
    <row r="70" spans="3:4" ht="12.75">
      <c r="C70" s="188" t="s">
        <v>196</v>
      </c>
      <c r="D70" s="200" t="s">
        <v>1030</v>
      </c>
    </row>
    <row r="71" spans="3:4" ht="12.75">
      <c r="C71" s="188" t="s">
        <v>198</v>
      </c>
      <c r="D71" s="200" t="s">
        <v>1099</v>
      </c>
    </row>
    <row r="72" spans="3:4" ht="12.75">
      <c r="C72" s="188" t="s">
        <v>199</v>
      </c>
      <c r="D72" s="200" t="s">
        <v>1100</v>
      </c>
    </row>
    <row r="73" spans="3:4" ht="12.75">
      <c r="C73" s="188" t="s">
        <v>200</v>
      </c>
      <c r="D73" s="200" t="s">
        <v>1101</v>
      </c>
    </row>
    <row r="74" spans="3:4" ht="12.75">
      <c r="C74" s="188" t="s">
        <v>17</v>
      </c>
      <c r="D74" s="200" t="s">
        <v>18</v>
      </c>
    </row>
    <row r="75" spans="3:7" ht="12.75">
      <c r="C75" s="106" t="s">
        <v>60</v>
      </c>
      <c r="D75" s="106" t="s">
        <v>847</v>
      </c>
      <c r="E75" s="199">
        <v>376.98799999999756</v>
      </c>
      <c r="F75" s="105">
        <v>2890</v>
      </c>
      <c r="G75" s="105">
        <f>F75-E75-E64</f>
        <v>2161.7368000000024</v>
      </c>
    </row>
    <row r="76" spans="3:4" ht="12.75">
      <c r="C76" s="106" t="s">
        <v>62</v>
      </c>
      <c r="D76" s="106" t="s">
        <v>848</v>
      </c>
    </row>
    <row r="77" spans="3:4" ht="12.75">
      <c r="C77" s="106" t="s">
        <v>64</v>
      </c>
      <c r="D77" s="106" t="s">
        <v>853</v>
      </c>
    </row>
    <row r="78" spans="3:4" ht="12.75">
      <c r="C78" s="188" t="s">
        <v>68</v>
      </c>
      <c r="D78" s="106" t="s">
        <v>849</v>
      </c>
    </row>
    <row r="79" spans="3:4" ht="12.75">
      <c r="C79" s="188" t="s">
        <v>70</v>
      </c>
      <c r="D79" s="106" t="s">
        <v>850</v>
      </c>
    </row>
    <row r="80" spans="3:5" ht="12.75">
      <c r="C80" s="188" t="s">
        <v>89</v>
      </c>
      <c r="D80" s="106" t="s">
        <v>854</v>
      </c>
      <c r="E80" s="105">
        <v>2161.7368000000024</v>
      </c>
    </row>
    <row r="81" spans="3:5" ht="12.75">
      <c r="C81" s="106" t="s">
        <v>124</v>
      </c>
      <c r="D81" s="106" t="s">
        <v>846</v>
      </c>
      <c r="E81" s="136">
        <f>B6+B10+C43+C44</f>
        <v>7693.7356</v>
      </c>
    </row>
    <row r="82" spans="3:4" ht="12.75">
      <c r="C82" s="106" t="s">
        <v>1033</v>
      </c>
      <c r="D82" s="106" t="s">
        <v>1102</v>
      </c>
    </row>
    <row r="83" spans="3:4" ht="12.75">
      <c r="C83" s="106" t="s">
        <v>1062</v>
      </c>
      <c r="D83" s="106" t="s">
        <v>1103</v>
      </c>
    </row>
    <row r="84" spans="3:4" ht="12.75">
      <c r="C84" s="106" t="s">
        <v>1104</v>
      </c>
      <c r="D84" s="106" t="s">
        <v>1105</v>
      </c>
    </row>
    <row r="85" spans="4:5" ht="12.75">
      <c r="D85" s="200" t="s">
        <v>358</v>
      </c>
      <c r="E85" s="136">
        <f>SUM(E61:E84)</f>
        <v>-188.94999999999527</v>
      </c>
    </row>
    <row r="86" spans="4:5" ht="12.75">
      <c r="D86" s="200" t="s">
        <v>1106</v>
      </c>
      <c r="E86" s="105">
        <f>B59-E85</f>
        <v>-3.637978807091713E-12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outlinePr summaryBelow="0"/>
  </sheetPr>
  <dimension ref="A2:G90"/>
  <sheetViews>
    <sheetView workbookViewId="0" topLeftCell="A11">
      <selection activeCell="C55" sqref="C55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1146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1147</v>
      </c>
      <c r="E7" s="2" t="s">
        <v>124</v>
      </c>
    </row>
    <row r="8" spans="2:5" ht="12.75" outlineLevel="1">
      <c r="B8" s="105"/>
      <c r="C8" s="136">
        <v>2188.19</v>
      </c>
      <c r="D8" t="s">
        <v>1148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C17</f>
        <v>738.7</v>
      </c>
      <c r="E10" s="2"/>
    </row>
    <row r="11" spans="2:5" ht="12.75" outlineLevel="1">
      <c r="B11" s="105"/>
      <c r="C11" s="136">
        <v>206.8</v>
      </c>
      <c r="D11" t="s">
        <v>1150</v>
      </c>
      <c r="E11" s="2" t="s">
        <v>124</v>
      </c>
    </row>
    <row r="12" spans="2:5" ht="12.75" outlineLevel="1">
      <c r="B12" s="105"/>
      <c r="C12" s="136">
        <v>206.8</v>
      </c>
      <c r="D12" t="s">
        <v>1151</v>
      </c>
      <c r="E12" s="2" t="s">
        <v>124</v>
      </c>
    </row>
    <row r="13" spans="2:5" ht="12.75" outlineLevel="1">
      <c r="B13" s="105"/>
      <c r="C13" s="136">
        <v>141.68</v>
      </c>
      <c r="D13" t="s">
        <v>1152</v>
      </c>
      <c r="E13" s="2" t="s">
        <v>124</v>
      </c>
    </row>
    <row r="14" spans="2:5" ht="12.75" outlineLevel="1">
      <c r="B14" s="105"/>
      <c r="C14" s="136">
        <v>141.68</v>
      </c>
      <c r="D14" t="s">
        <v>1153</v>
      </c>
      <c r="E14" s="2" t="s">
        <v>124</v>
      </c>
    </row>
    <row r="15" spans="2:5" ht="12.75" outlineLevel="1">
      <c r="B15" s="105"/>
      <c r="C15" s="136">
        <v>20.87</v>
      </c>
      <c r="D15" t="s">
        <v>1154</v>
      </c>
      <c r="E15" s="2" t="s">
        <v>124</v>
      </c>
    </row>
    <row r="16" spans="2:5" ht="12.75" outlineLevel="1">
      <c r="B16" s="105"/>
      <c r="C16" s="136">
        <v>20.87</v>
      </c>
      <c r="D16" t="s">
        <v>1155</v>
      </c>
      <c r="E16" s="2" t="s">
        <v>124</v>
      </c>
    </row>
    <row r="17" spans="2:5" ht="12.75" outlineLevel="1">
      <c r="B17" s="105"/>
      <c r="C17" s="136">
        <f>SUM(C11:C16)</f>
        <v>738.7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1149</v>
      </c>
      <c r="E19" s="2" t="s">
        <v>192</v>
      </c>
    </row>
    <row r="20" spans="2:5" ht="12.75" outlineLevel="1">
      <c r="B20" s="105"/>
      <c r="C20" s="136">
        <v>605.57</v>
      </c>
      <c r="D20" t="s">
        <v>1149</v>
      </c>
      <c r="E20" s="2" t="s">
        <v>192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C28</f>
        <v>0</v>
      </c>
    </row>
    <row r="28" spans="2:4" ht="12.75" outlineLevel="1">
      <c r="B28" s="105"/>
      <c r="C28" s="136">
        <v>0</v>
      </c>
      <c r="D28" t="s">
        <v>227</v>
      </c>
    </row>
    <row r="29" spans="1:6" s="68" customFormat="1" ht="12.75">
      <c r="A29" t="s">
        <v>504</v>
      </c>
      <c r="B29" s="156">
        <f>C33</f>
        <v>1960.3899999999999</v>
      </c>
      <c r="C29" s="151"/>
      <c r="D29" s="2"/>
      <c r="F29" s="228"/>
    </row>
    <row r="30" spans="1:6" s="68" customFormat="1" ht="12.75" outlineLevel="1">
      <c r="A30"/>
      <c r="B30" s="156"/>
      <c r="C30" s="151">
        <v>995.25</v>
      </c>
      <c r="D30" s="2" t="s">
        <v>1156</v>
      </c>
      <c r="E30" s="2" t="s">
        <v>370</v>
      </c>
      <c r="F30" s="228"/>
    </row>
    <row r="31" spans="1:6" s="68" customFormat="1" ht="12.75" outlineLevel="1">
      <c r="A31"/>
      <c r="B31" s="156"/>
      <c r="C31" s="151">
        <v>10</v>
      </c>
      <c r="D31" s="2" t="s">
        <v>1157</v>
      </c>
      <c r="E31" s="2"/>
      <c r="F31" s="228"/>
    </row>
    <row r="32" spans="1:6" s="68" customFormat="1" ht="12.75" outlineLevel="1">
      <c r="A32"/>
      <c r="B32" s="156"/>
      <c r="C32" s="151">
        <v>955.14</v>
      </c>
      <c r="D32" s="2"/>
      <c r="E32" s="2"/>
      <c r="F32" s="228"/>
    </row>
    <row r="33" spans="1:6" s="68" customFormat="1" ht="12.75" outlineLevel="1">
      <c r="A33"/>
      <c r="B33" s="154"/>
      <c r="C33" s="151">
        <f>SUM(C30:C32)</f>
        <v>1960.3899999999999</v>
      </c>
      <c r="D33" s="2"/>
      <c r="F33" s="228"/>
    </row>
    <row r="34" spans="1:5" ht="12.75">
      <c r="A34" t="s">
        <v>885</v>
      </c>
      <c r="B34" s="105">
        <f>C35</f>
        <v>0</v>
      </c>
      <c r="E34" s="2"/>
    </row>
    <row r="35" spans="2:6" s="68" customFormat="1" ht="12.75" outlineLevel="1">
      <c r="B35" s="154"/>
      <c r="C35" s="136">
        <v>0</v>
      </c>
      <c r="D35"/>
      <c r="E35" s="106"/>
      <c r="F35" s="228"/>
    </row>
    <row r="36" spans="1:6" s="68" customFormat="1" ht="12.75">
      <c r="A36" s="2" t="s">
        <v>518</v>
      </c>
      <c r="B36" s="156">
        <f>C37</f>
        <v>30.6</v>
      </c>
      <c r="C36" s="136"/>
      <c r="D36"/>
      <c r="E36" s="106"/>
      <c r="F36" s="228"/>
    </row>
    <row r="37" spans="1:6" s="68" customFormat="1" ht="12.75" outlineLevel="1">
      <c r="A37" s="2"/>
      <c r="B37" s="156"/>
      <c r="C37" s="136">
        <v>30.6</v>
      </c>
      <c r="D37" t="s">
        <v>1158</v>
      </c>
      <c r="E37" s="188" t="s">
        <v>193</v>
      </c>
      <c r="F37" s="228"/>
    </row>
    <row r="38" spans="1:5" ht="12.75">
      <c r="A38" t="s">
        <v>439</v>
      </c>
      <c r="B38" s="105">
        <f>SUM(B6:B36)</f>
        <v>8317.210000000001</v>
      </c>
      <c r="E38" s="2"/>
    </row>
    <row r="39" spans="2:5" ht="12.75">
      <c r="B39" s="105"/>
      <c r="E39" s="2"/>
    </row>
    <row r="40" spans="2:5" ht="12.75">
      <c r="B40" s="105"/>
      <c r="E40" s="2"/>
    </row>
    <row r="41" spans="2:5" ht="12.75">
      <c r="B41" s="105"/>
      <c r="E41" s="2"/>
    </row>
    <row r="42" spans="1:5" ht="12.75">
      <c r="A42" t="s">
        <v>507</v>
      </c>
      <c r="B42" s="105">
        <f>C51</f>
        <v>3992.2608000000005</v>
      </c>
      <c r="E42" s="2"/>
    </row>
    <row r="43" spans="2:5" ht="12.75" outlineLevel="1">
      <c r="B43" s="105"/>
      <c r="C43" s="136">
        <f>$B$4*B6</f>
        <v>2100.6624</v>
      </c>
      <c r="D43" t="s">
        <v>591</v>
      </c>
      <c r="E43" s="2" t="s">
        <v>124</v>
      </c>
    </row>
    <row r="44" spans="2:5" ht="12.75" outlineLevel="1">
      <c r="B44" s="105"/>
      <c r="C44" s="136">
        <f>$B$4*B10</f>
        <v>354.576</v>
      </c>
      <c r="D44" t="s">
        <v>500</v>
      </c>
      <c r="E44" s="2" t="s">
        <v>124</v>
      </c>
    </row>
    <row r="45" spans="2:5" ht="12.75" outlineLevel="1">
      <c r="B45" s="105"/>
      <c r="C45" s="136">
        <f>$B$4*B18</f>
        <v>581.3472</v>
      </c>
      <c r="D45" t="s">
        <v>499</v>
      </c>
      <c r="E45" s="2" t="s">
        <v>192</v>
      </c>
    </row>
    <row r="46" spans="2:5" ht="12.75" outlineLevel="1">
      <c r="B46" s="105"/>
      <c r="C46" s="136">
        <f>$B$4*B22</f>
        <v>0</v>
      </c>
      <c r="D46" t="s">
        <v>917</v>
      </c>
      <c r="E46" s="2"/>
    </row>
    <row r="47" spans="2:5" ht="12.75" outlineLevel="1">
      <c r="B47" s="105"/>
      <c r="C47" s="136">
        <f>$B$4*B36</f>
        <v>14.688</v>
      </c>
      <c r="D47" s="2" t="s">
        <v>518</v>
      </c>
      <c r="E47" s="188" t="s">
        <v>193</v>
      </c>
    </row>
    <row r="48" spans="2:5" ht="12.75" outlineLevel="1">
      <c r="B48" s="105"/>
      <c r="C48" s="136">
        <f>$B$4*B27</f>
        <v>0</v>
      </c>
      <c r="D48" t="s">
        <v>1134</v>
      </c>
      <c r="E48" s="2"/>
    </row>
    <row r="49" spans="2:5" ht="12.75" outlineLevel="1">
      <c r="B49" s="105"/>
      <c r="C49" s="136">
        <f>$B$4*B29</f>
        <v>940.9871999999999</v>
      </c>
      <c r="D49" t="s">
        <v>504</v>
      </c>
      <c r="E49" s="2" t="s">
        <v>370</v>
      </c>
    </row>
    <row r="50" spans="2:5" ht="12.75" outlineLevel="1">
      <c r="B50" s="105"/>
      <c r="C50" s="136">
        <f>$B$4*B34</f>
        <v>0</v>
      </c>
      <c r="D50" t="s">
        <v>885</v>
      </c>
      <c r="E50" s="106" t="s">
        <v>429</v>
      </c>
    </row>
    <row r="51" spans="2:4" ht="12.75" outlineLevel="1">
      <c r="B51" s="105"/>
      <c r="C51" s="136">
        <f>SUM(C43:C50)</f>
        <v>3992.2608000000005</v>
      </c>
      <c r="D51" t="s">
        <v>237</v>
      </c>
    </row>
    <row r="52" spans="1:2" ht="12.75">
      <c r="A52" t="s">
        <v>509</v>
      </c>
      <c r="B52" s="105">
        <f>B38+B42</f>
        <v>12309.470800000001</v>
      </c>
    </row>
    <row r="53" ht="12.75">
      <c r="B53" s="105"/>
    </row>
    <row r="54" spans="1:5" ht="12.75">
      <c r="A54" t="s">
        <v>594</v>
      </c>
      <c r="B54" s="105">
        <f>C60</f>
        <v>33460.32</v>
      </c>
      <c r="E54" s="2"/>
    </row>
    <row r="55" spans="2:5" ht="12.75" outlineLevel="1">
      <c r="B55" s="105"/>
      <c r="C55" s="136">
        <v>11271.1</v>
      </c>
      <c r="D55" t="s">
        <v>1159</v>
      </c>
      <c r="E55" s="188" t="s">
        <v>192</v>
      </c>
    </row>
    <row r="56" spans="2:5" ht="12.75" outlineLevel="1">
      <c r="B56" s="105"/>
      <c r="C56" s="136">
        <v>220.3</v>
      </c>
      <c r="D56" t="s">
        <v>1165</v>
      </c>
      <c r="E56" s="188" t="s">
        <v>193</v>
      </c>
    </row>
    <row r="57" spans="2:5" ht="12.75" outlineLevel="1">
      <c r="B57" s="105"/>
      <c r="C57" s="136">
        <v>4244.76</v>
      </c>
      <c r="D57" t="s">
        <v>1161</v>
      </c>
      <c r="E57" s="188" t="s">
        <v>192</v>
      </c>
    </row>
    <row r="58" spans="2:5" ht="12.75" outlineLevel="1">
      <c r="B58" s="105"/>
      <c r="C58" s="136">
        <v>7490.47</v>
      </c>
      <c r="D58" t="s">
        <v>1160</v>
      </c>
      <c r="E58" s="188" t="s">
        <v>192</v>
      </c>
    </row>
    <row r="59" spans="2:5" ht="12.75" outlineLevel="1">
      <c r="B59" s="105"/>
      <c r="C59" s="136">
        <v>10233.69</v>
      </c>
      <c r="D59" t="s">
        <v>1162</v>
      </c>
      <c r="E59" s="188" t="s">
        <v>192</v>
      </c>
    </row>
    <row r="60" spans="2:5" ht="12.75" outlineLevel="1">
      <c r="B60" s="105"/>
      <c r="C60" s="105">
        <f>SUM(C55:C59)</f>
        <v>33460.32</v>
      </c>
      <c r="E60" s="2"/>
    </row>
    <row r="61" spans="1:5" ht="12.75">
      <c r="A61" t="s">
        <v>368</v>
      </c>
      <c r="B61" s="105">
        <f>B54</f>
        <v>33460.32</v>
      </c>
      <c r="C61" s="105"/>
      <c r="E61" s="2"/>
    </row>
    <row r="62" spans="2:5" ht="12.75">
      <c r="B62" s="105"/>
      <c r="C62" s="105"/>
      <c r="E62" s="2"/>
    </row>
    <row r="63" spans="1:2" ht="12.75">
      <c r="A63" t="s">
        <v>415</v>
      </c>
      <c r="B63" s="105">
        <f>B61+B52</f>
        <v>45769.7908</v>
      </c>
    </row>
    <row r="64" ht="12.75">
      <c r="B64" s="105"/>
    </row>
    <row r="65" spans="3:5" ht="12.75">
      <c r="C65" s="188" t="s">
        <v>429</v>
      </c>
      <c r="D65" s="188" t="s">
        <v>1024</v>
      </c>
      <c r="E65" s="136">
        <f>C35+C50</f>
        <v>0</v>
      </c>
    </row>
    <row r="66" spans="3:5" ht="12.75">
      <c r="C66" s="188" t="s">
        <v>370</v>
      </c>
      <c r="D66" s="188" t="s">
        <v>367</v>
      </c>
      <c r="E66" s="136">
        <f>B27+B29+C48+C49</f>
        <v>2901.3772</v>
      </c>
    </row>
    <row r="67" spans="3:4" ht="12.75">
      <c r="C67" s="188" t="s">
        <v>182</v>
      </c>
      <c r="D67" s="188" t="s">
        <v>855</v>
      </c>
    </row>
    <row r="68" spans="3:6" ht="12.75">
      <c r="C68" s="188" t="s">
        <v>187</v>
      </c>
      <c r="D68" s="189" t="s">
        <v>1779</v>
      </c>
      <c r="E68" s="199"/>
      <c r="F68" s="105">
        <f>B25</f>
        <v>0</v>
      </c>
    </row>
    <row r="69" spans="3:4" ht="12.75">
      <c r="C69" s="188" t="s">
        <v>189</v>
      </c>
      <c r="D69" s="106" t="s">
        <v>851</v>
      </c>
    </row>
    <row r="70" spans="3:4" ht="12.75">
      <c r="C70" s="106" t="s">
        <v>190</v>
      </c>
      <c r="D70" s="106" t="s">
        <v>852</v>
      </c>
    </row>
    <row r="71" spans="3:5" ht="12.75">
      <c r="C71" s="188" t="s">
        <v>192</v>
      </c>
      <c r="D71" s="200" t="s">
        <v>1025</v>
      </c>
      <c r="E71" s="105">
        <f>B18+C45+C46+B22+C55+C57+C58+C59</f>
        <v>35032.5072</v>
      </c>
    </row>
    <row r="72" spans="3:5" ht="12.75">
      <c r="C72" s="188" t="s">
        <v>193</v>
      </c>
      <c r="D72" s="200" t="s">
        <v>1026</v>
      </c>
      <c r="E72" s="136">
        <f>C56+C47+B36</f>
        <v>265.588</v>
      </c>
    </row>
    <row r="73" spans="3:5" ht="12.75">
      <c r="C73" s="188" t="s">
        <v>195</v>
      </c>
      <c r="D73" s="200" t="s">
        <v>1029</v>
      </c>
      <c r="E73" s="136"/>
    </row>
    <row r="74" spans="3:4" ht="12.75">
      <c r="C74" s="188" t="s">
        <v>196</v>
      </c>
      <c r="D74" s="200" t="s">
        <v>1030</v>
      </c>
    </row>
    <row r="75" spans="3:4" ht="12.75">
      <c r="C75" s="188" t="s">
        <v>198</v>
      </c>
      <c r="D75" s="200" t="s">
        <v>1099</v>
      </c>
    </row>
    <row r="76" spans="3:4" ht="12.75">
      <c r="C76" s="188" t="s">
        <v>199</v>
      </c>
      <c r="D76" s="200" t="s">
        <v>1100</v>
      </c>
    </row>
    <row r="77" spans="3:4" ht="12.75">
      <c r="C77" s="188" t="s">
        <v>200</v>
      </c>
      <c r="D77" s="200" t="s">
        <v>1101</v>
      </c>
    </row>
    <row r="78" spans="3:4" ht="12.75">
      <c r="C78" s="188" t="s">
        <v>17</v>
      </c>
      <c r="D78" s="200" t="s">
        <v>18</v>
      </c>
    </row>
    <row r="79" spans="3:7" ht="12.75">
      <c r="C79" s="106" t="s">
        <v>60</v>
      </c>
      <c r="D79" s="106" t="s">
        <v>847</v>
      </c>
      <c r="E79" s="199"/>
      <c r="F79" s="105">
        <v>2890</v>
      </c>
      <c r="G79" s="105">
        <f>F79-E79-E68</f>
        <v>2890</v>
      </c>
    </row>
    <row r="80" spans="3:4" ht="12.75">
      <c r="C80" s="106" t="s">
        <v>62</v>
      </c>
      <c r="D80" s="106" t="s">
        <v>848</v>
      </c>
    </row>
    <row r="81" spans="3:4" ht="12.75">
      <c r="C81" s="106" t="s">
        <v>64</v>
      </c>
      <c r="D81" s="106" t="s">
        <v>853</v>
      </c>
    </row>
    <row r="82" spans="3:4" ht="12.75">
      <c r="C82" s="188" t="s">
        <v>68</v>
      </c>
      <c r="D82" s="106" t="s">
        <v>849</v>
      </c>
    </row>
    <row r="83" spans="3:4" ht="12.75">
      <c r="C83" s="188" t="s">
        <v>70</v>
      </c>
      <c r="D83" s="106" t="s">
        <v>850</v>
      </c>
    </row>
    <row r="84" spans="3:5" ht="12.75">
      <c r="C84" s="188" t="s">
        <v>89</v>
      </c>
      <c r="D84" s="106" t="s">
        <v>854</v>
      </c>
      <c r="E84" s="105"/>
    </row>
    <row r="85" spans="3:5" ht="12.75">
      <c r="C85" s="106" t="s">
        <v>124</v>
      </c>
      <c r="D85" s="106" t="s">
        <v>846</v>
      </c>
      <c r="E85" s="136">
        <f>B6+B10+C43+C44</f>
        <v>7570.3184</v>
      </c>
    </row>
    <row r="86" spans="3:4" ht="12.75">
      <c r="C86" s="106" t="s">
        <v>1033</v>
      </c>
      <c r="D86" s="106" t="s">
        <v>1102</v>
      </c>
    </row>
    <row r="87" spans="3:4" ht="12.75">
      <c r="C87" s="106" t="s">
        <v>1062</v>
      </c>
      <c r="D87" s="106" t="s">
        <v>1103</v>
      </c>
    </row>
    <row r="88" spans="3:4" ht="12.75">
      <c r="C88" s="106" t="s">
        <v>1104</v>
      </c>
      <c r="D88" s="106" t="s">
        <v>1105</v>
      </c>
    </row>
    <row r="89" spans="4:5" ht="12.75">
      <c r="D89" s="200" t="s">
        <v>358</v>
      </c>
      <c r="E89" s="136">
        <f>SUM(E65:E88)</f>
        <v>45769.7908</v>
      </c>
    </row>
    <row r="90" spans="4:5" ht="12.75">
      <c r="D90" s="200" t="s">
        <v>1106</v>
      </c>
      <c r="E90" s="105">
        <f>B63-E89</f>
        <v>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outlinePr summaryBelow="0"/>
  </sheetPr>
  <dimension ref="A2:G91"/>
  <sheetViews>
    <sheetView workbookViewId="0" topLeftCell="A10">
      <selection activeCell="E66" sqref="E66:E89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1172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1173</v>
      </c>
      <c r="E7" s="2" t="s">
        <v>124</v>
      </c>
    </row>
    <row r="8" spans="2:5" ht="12.75" outlineLevel="1">
      <c r="B8" s="105"/>
      <c r="C8" s="136">
        <v>2188.19</v>
      </c>
      <c r="D8" t="s">
        <v>1174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C17</f>
        <v>996.5400000000001</v>
      </c>
      <c r="E10" s="2"/>
    </row>
    <row r="11" spans="2:5" ht="12.75" outlineLevel="1">
      <c r="B11" s="105"/>
      <c r="C11" s="136">
        <v>206.8</v>
      </c>
      <c r="D11" t="s">
        <v>1177</v>
      </c>
      <c r="E11" s="2" t="s">
        <v>124</v>
      </c>
    </row>
    <row r="12" spans="2:5" ht="12.75" outlineLevel="1">
      <c r="B12" s="105"/>
      <c r="C12" s="136">
        <v>206.8</v>
      </c>
      <c r="D12" t="s">
        <v>1178</v>
      </c>
      <c r="E12" s="2" t="s">
        <v>124</v>
      </c>
    </row>
    <row r="13" spans="2:5" ht="12.75" outlineLevel="1">
      <c r="B13" s="105"/>
      <c r="C13" s="136">
        <v>270.6</v>
      </c>
      <c r="D13" t="s">
        <v>1179</v>
      </c>
      <c r="E13" s="2" t="s">
        <v>124</v>
      </c>
    </row>
    <row r="14" spans="2:5" ht="12.75" outlineLevel="1">
      <c r="B14" s="105"/>
      <c r="C14" s="136">
        <v>270.6</v>
      </c>
      <c r="D14" t="s">
        <v>1180</v>
      </c>
      <c r="E14" s="2" t="s">
        <v>124</v>
      </c>
    </row>
    <row r="15" spans="2:5" ht="12.75" outlineLevel="1">
      <c r="B15" s="105"/>
      <c r="C15" s="136">
        <v>20.87</v>
      </c>
      <c r="D15" t="s">
        <v>1200</v>
      </c>
      <c r="E15" s="2" t="s">
        <v>124</v>
      </c>
    </row>
    <row r="16" spans="2:5" ht="12.75" outlineLevel="1">
      <c r="B16" s="105"/>
      <c r="C16" s="136">
        <v>20.87</v>
      </c>
      <c r="D16" t="s">
        <v>1201</v>
      </c>
      <c r="E16" s="2" t="s">
        <v>124</v>
      </c>
    </row>
    <row r="17" spans="2:5" ht="12.75" outlineLevel="1">
      <c r="B17" s="105"/>
      <c r="C17" s="136">
        <f>SUM(C11:C16)</f>
        <v>996.5400000000001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1175</v>
      </c>
      <c r="E19" s="2" t="s">
        <v>192</v>
      </c>
    </row>
    <row r="20" spans="2:5" ht="12.75" outlineLevel="1">
      <c r="B20" s="105"/>
      <c r="C20" s="136">
        <v>605.57</v>
      </c>
      <c r="D20" t="s">
        <v>1176</v>
      </c>
      <c r="E20" s="2" t="s">
        <v>192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C28</f>
        <v>312.56</v>
      </c>
    </row>
    <row r="28" spans="2:5" ht="12.75" outlineLevel="1">
      <c r="B28" s="105"/>
      <c r="C28" s="136">
        <v>312.56</v>
      </c>
      <c r="D28" t="s">
        <v>1181</v>
      </c>
      <c r="E28" s="2" t="s">
        <v>370</v>
      </c>
    </row>
    <row r="29" spans="1:6" s="68" customFormat="1" ht="12.75">
      <c r="A29" t="s">
        <v>504</v>
      </c>
      <c r="B29" s="156">
        <f>C30</f>
        <v>0</v>
      </c>
      <c r="C29" s="151"/>
      <c r="D29" s="2"/>
      <c r="F29" s="228"/>
    </row>
    <row r="30" spans="1:6" s="68" customFormat="1" ht="12.75" outlineLevel="1">
      <c r="A30"/>
      <c r="B30" s="154"/>
      <c r="C30" s="151">
        <v>0</v>
      </c>
      <c r="D30" s="2"/>
      <c r="F30" s="228"/>
    </row>
    <row r="31" spans="1:5" ht="12.75">
      <c r="A31" t="s">
        <v>885</v>
      </c>
      <c r="B31" s="105">
        <f>C32</f>
        <v>0</v>
      </c>
      <c r="E31" s="2"/>
    </row>
    <row r="32" spans="2:6" s="68" customFormat="1" ht="12.75" outlineLevel="1">
      <c r="B32" s="154"/>
      <c r="C32" s="136">
        <v>0</v>
      </c>
      <c r="D32"/>
      <c r="E32" s="106"/>
      <c r="F32" s="228"/>
    </row>
    <row r="33" spans="1:6" s="68" customFormat="1" ht="12.75">
      <c r="A33" s="2" t="s">
        <v>518</v>
      </c>
      <c r="B33" s="156">
        <f>C34</f>
        <v>0</v>
      </c>
      <c r="C33" s="136"/>
      <c r="D33"/>
      <c r="E33" s="106"/>
      <c r="F33" s="228"/>
    </row>
    <row r="34" spans="1:6" s="68" customFormat="1" ht="12.75" outlineLevel="1">
      <c r="A34" s="2"/>
      <c r="B34" s="156"/>
      <c r="C34" s="136">
        <v>0</v>
      </c>
      <c r="D34" t="s">
        <v>227</v>
      </c>
      <c r="E34" s="188" t="s">
        <v>227</v>
      </c>
      <c r="F34" s="228"/>
    </row>
    <row r="35" spans="1:6" s="68" customFormat="1" ht="12.75">
      <c r="A35" s="2" t="s">
        <v>1182</v>
      </c>
      <c r="B35" s="156">
        <f>C39</f>
        <v>195.66</v>
      </c>
      <c r="C35" s="136"/>
      <c r="D35"/>
      <c r="E35" s="188"/>
      <c r="F35" s="228"/>
    </row>
    <row r="36" spans="1:6" s="68" customFormat="1" ht="12.75" outlineLevel="1">
      <c r="A36" s="2"/>
      <c r="B36" s="156" t="s">
        <v>227</v>
      </c>
      <c r="C36" s="136">
        <v>93.98</v>
      </c>
      <c r="D36" t="s">
        <v>1183</v>
      </c>
      <c r="E36" s="188" t="s">
        <v>196</v>
      </c>
      <c r="F36" s="228"/>
    </row>
    <row r="37" spans="1:6" s="68" customFormat="1" ht="12.75" outlineLevel="1">
      <c r="A37" s="2"/>
      <c r="B37" s="156"/>
      <c r="C37" s="136">
        <v>46.45</v>
      </c>
      <c r="D37" t="s">
        <v>1184</v>
      </c>
      <c r="E37" s="188" t="s">
        <v>196</v>
      </c>
      <c r="F37" s="228"/>
    </row>
    <row r="38" spans="1:6" s="68" customFormat="1" ht="12.75" outlineLevel="1">
      <c r="A38" s="2"/>
      <c r="B38" s="156"/>
      <c r="C38" s="136">
        <v>55.23</v>
      </c>
      <c r="D38" t="s">
        <v>1185</v>
      </c>
      <c r="E38" s="188" t="s">
        <v>196</v>
      </c>
      <c r="F38" s="228"/>
    </row>
    <row r="39" spans="1:6" s="68" customFormat="1" ht="12.75" outlineLevel="1">
      <c r="A39" s="2"/>
      <c r="B39" s="156"/>
      <c r="C39" s="136">
        <f>SUM(C36:C38)</f>
        <v>195.66</v>
      </c>
      <c r="D39"/>
      <c r="E39" s="188"/>
      <c r="F39" s="228"/>
    </row>
    <row r="40" spans="1:5" ht="12.75">
      <c r="A40" t="s">
        <v>439</v>
      </c>
      <c r="B40" s="105">
        <f>SUM(B6:B35)</f>
        <v>7092.280000000001</v>
      </c>
      <c r="E40" s="2"/>
    </row>
    <row r="41" spans="2:5" ht="12.75">
      <c r="B41" s="105"/>
      <c r="E41" s="2"/>
    </row>
    <row r="42" spans="2:5" ht="12.75">
      <c r="B42" s="105"/>
      <c r="E42" s="2"/>
    </row>
    <row r="43" spans="2:5" ht="12.75">
      <c r="B43" s="105"/>
      <c r="E43" s="2"/>
    </row>
    <row r="44" spans="1:5" ht="12.75">
      <c r="A44" t="s">
        <v>507</v>
      </c>
      <c r="B44" s="105">
        <f>C53</f>
        <v>3404.2944</v>
      </c>
      <c r="E44" s="2"/>
    </row>
    <row r="45" spans="2:5" ht="12.75" outlineLevel="1">
      <c r="B45" s="105"/>
      <c r="C45" s="136">
        <f>$B$4*B6</f>
        <v>2100.6624</v>
      </c>
      <c r="D45" t="s">
        <v>591</v>
      </c>
      <c r="E45" s="2" t="s">
        <v>124</v>
      </c>
    </row>
    <row r="46" spans="2:5" ht="12.75" outlineLevel="1">
      <c r="B46" s="105"/>
      <c r="C46" s="136">
        <f>$B$4*B10</f>
        <v>478.3392</v>
      </c>
      <c r="D46" t="s">
        <v>500</v>
      </c>
      <c r="E46" s="2" t="s">
        <v>124</v>
      </c>
    </row>
    <row r="47" spans="2:5" ht="12.75" outlineLevel="1">
      <c r="B47" s="105"/>
      <c r="C47" s="136">
        <f>$B$4*B18</f>
        <v>581.3472</v>
      </c>
      <c r="D47" t="s">
        <v>499</v>
      </c>
      <c r="E47" s="2" t="s">
        <v>192</v>
      </c>
    </row>
    <row r="48" spans="2:5" ht="12.75" outlineLevel="1">
      <c r="B48" s="105"/>
      <c r="C48" s="136">
        <f>$B$4*B22</f>
        <v>0</v>
      </c>
      <c r="D48" t="s">
        <v>917</v>
      </c>
      <c r="E48" s="2"/>
    </row>
    <row r="49" spans="2:5" ht="12.75" outlineLevel="1">
      <c r="B49" s="105"/>
      <c r="C49" s="136">
        <f>$B$4*B33</f>
        <v>0</v>
      </c>
      <c r="D49" s="2" t="s">
        <v>518</v>
      </c>
      <c r="E49" s="188"/>
    </row>
    <row r="50" spans="2:5" ht="12.75" outlineLevel="1">
      <c r="B50" s="105"/>
      <c r="C50" s="136">
        <f>$B$4*B27</f>
        <v>150.0288</v>
      </c>
      <c r="D50" t="s">
        <v>1134</v>
      </c>
      <c r="E50" s="2" t="s">
        <v>370</v>
      </c>
    </row>
    <row r="51" spans="2:4" ht="12.75" outlineLevel="1">
      <c r="B51" s="105"/>
      <c r="C51" s="136">
        <f>$B$4*B29</f>
        <v>0</v>
      </c>
      <c r="D51" t="s">
        <v>504</v>
      </c>
    </row>
    <row r="52" spans="2:5" ht="12.75" outlineLevel="1">
      <c r="B52" s="105"/>
      <c r="C52" s="136">
        <f>$B$4*B35</f>
        <v>93.9168</v>
      </c>
      <c r="D52" s="2" t="s">
        <v>1182</v>
      </c>
      <c r="E52" s="106" t="s">
        <v>429</v>
      </c>
    </row>
    <row r="53" spans="2:4" ht="12.75" outlineLevel="1">
      <c r="B53" s="105"/>
      <c r="C53" s="136">
        <f>SUM(C45:C52)</f>
        <v>3404.2944</v>
      </c>
      <c r="D53" t="s">
        <v>237</v>
      </c>
    </row>
    <row r="54" spans="1:2" ht="12.75">
      <c r="A54" t="s">
        <v>509</v>
      </c>
      <c r="B54" s="105">
        <f>B40+B44</f>
        <v>10496.574400000001</v>
      </c>
    </row>
    <row r="55" ht="12.75">
      <c r="B55" s="105"/>
    </row>
    <row r="56" spans="1:5" ht="12.75">
      <c r="A56" t="s">
        <v>594</v>
      </c>
      <c r="B56" s="105">
        <f>C61</f>
        <v>15316.35</v>
      </c>
      <c r="E56" s="2"/>
    </row>
    <row r="57" spans="2:5" ht="12.75" outlineLevel="1">
      <c r="B57" s="105"/>
      <c r="C57" s="136">
        <v>7070.8</v>
      </c>
      <c r="D57" t="s">
        <v>1186</v>
      </c>
      <c r="E57" s="188" t="s">
        <v>192</v>
      </c>
    </row>
    <row r="58" spans="2:5" ht="12.75" outlineLevel="1">
      <c r="B58" s="105"/>
      <c r="C58" s="136">
        <v>5899.3</v>
      </c>
      <c r="D58" t="s">
        <v>1187</v>
      </c>
      <c r="E58" s="188" t="s">
        <v>195</v>
      </c>
    </row>
    <row r="59" spans="2:5" ht="12.75" outlineLevel="1">
      <c r="B59" s="105"/>
      <c r="C59" s="136">
        <v>2297.19</v>
      </c>
      <c r="D59" t="s">
        <v>1188</v>
      </c>
      <c r="E59" s="188" t="s">
        <v>193</v>
      </c>
    </row>
    <row r="60" spans="2:5" ht="12.75" outlineLevel="1">
      <c r="B60" s="105"/>
      <c r="C60" s="136">
        <v>49.06</v>
      </c>
      <c r="D60" t="s">
        <v>1188</v>
      </c>
      <c r="E60" s="188" t="s">
        <v>193</v>
      </c>
    </row>
    <row r="61" spans="2:5" ht="12.75" outlineLevel="1">
      <c r="B61" s="105"/>
      <c r="C61" s="105">
        <f>SUM(C57:C60)</f>
        <v>15316.35</v>
      </c>
      <c r="E61" s="2"/>
    </row>
    <row r="62" spans="1:5" ht="12.75">
      <c r="A62" t="s">
        <v>368</v>
      </c>
      <c r="B62" s="105">
        <f>B56</f>
        <v>15316.35</v>
      </c>
      <c r="C62" s="105"/>
      <c r="E62" s="2"/>
    </row>
    <row r="63" spans="2:5" ht="12.75">
      <c r="B63" s="105"/>
      <c r="C63" s="105"/>
      <c r="E63" s="2"/>
    </row>
    <row r="64" spans="1:2" ht="12.75">
      <c r="A64" t="s">
        <v>415</v>
      </c>
      <c r="B64" s="105">
        <f>B62+B54</f>
        <v>25812.924400000004</v>
      </c>
    </row>
    <row r="65" ht="12.75">
      <c r="B65" s="105"/>
    </row>
    <row r="66" spans="3:5" ht="12.75">
      <c r="C66" s="188" t="s">
        <v>429</v>
      </c>
      <c r="D66" s="188" t="s">
        <v>1024</v>
      </c>
      <c r="E66" s="136"/>
    </row>
    <row r="67" spans="3:5" ht="12.75">
      <c r="C67" s="188" t="s">
        <v>370</v>
      </c>
      <c r="D67" s="188" t="s">
        <v>367</v>
      </c>
      <c r="E67" s="136">
        <f>B27+B29+C50+C51</f>
        <v>462.5888</v>
      </c>
    </row>
    <row r="68" spans="3:4" ht="12.75">
      <c r="C68" s="188" t="s">
        <v>182</v>
      </c>
      <c r="D68" s="188" t="s">
        <v>855</v>
      </c>
    </row>
    <row r="69" spans="3:6" ht="12.75">
      <c r="C69" s="188" t="s">
        <v>187</v>
      </c>
      <c r="D69" s="189" t="s">
        <v>1779</v>
      </c>
      <c r="E69" s="199"/>
      <c r="F69" s="105"/>
    </row>
    <row r="70" spans="3:4" ht="12.75">
      <c r="C70" s="188" t="s">
        <v>189</v>
      </c>
      <c r="D70" s="106" t="s">
        <v>851</v>
      </c>
    </row>
    <row r="71" spans="3:4" ht="12.75">
      <c r="C71" s="106" t="s">
        <v>190</v>
      </c>
      <c r="D71" s="106" t="s">
        <v>852</v>
      </c>
    </row>
    <row r="72" spans="3:5" ht="12.75">
      <c r="C72" s="188" t="s">
        <v>192</v>
      </c>
      <c r="D72" s="200" t="s">
        <v>1025</v>
      </c>
      <c r="E72" s="105">
        <f>B18+C47+C48+B22+C57</f>
        <v>8863.2872</v>
      </c>
    </row>
    <row r="73" spans="3:5" ht="12.75">
      <c r="C73" s="188" t="s">
        <v>193</v>
      </c>
      <c r="D73" s="200" t="s">
        <v>1026</v>
      </c>
      <c r="E73" s="136">
        <f>B35+C52+C59+C60</f>
        <v>2635.8268</v>
      </c>
    </row>
    <row r="74" spans="3:5" ht="12.75">
      <c r="C74" s="188" t="s">
        <v>195</v>
      </c>
      <c r="D74" s="200" t="s">
        <v>1029</v>
      </c>
      <c r="E74" s="136">
        <f>C58</f>
        <v>5899.3</v>
      </c>
    </row>
    <row r="75" spans="3:4" ht="12.75">
      <c r="C75" s="188" t="s">
        <v>196</v>
      </c>
      <c r="D75" s="200" t="s">
        <v>1030</v>
      </c>
    </row>
    <row r="76" spans="3:4" ht="12.75">
      <c r="C76" s="188" t="s">
        <v>198</v>
      </c>
      <c r="D76" s="200" t="s">
        <v>1099</v>
      </c>
    </row>
    <row r="77" spans="3:4" ht="12.75">
      <c r="C77" s="188" t="s">
        <v>199</v>
      </c>
      <c r="D77" s="200" t="s">
        <v>1100</v>
      </c>
    </row>
    <row r="78" spans="3:4" ht="12.75">
      <c r="C78" s="188" t="s">
        <v>200</v>
      </c>
      <c r="D78" s="200" t="s">
        <v>1101</v>
      </c>
    </row>
    <row r="79" spans="3:4" ht="12.75">
      <c r="C79" s="188" t="s">
        <v>17</v>
      </c>
      <c r="D79" s="200" t="s">
        <v>18</v>
      </c>
    </row>
    <row r="80" spans="3:7" ht="12.75">
      <c r="C80" s="106" t="s">
        <v>60</v>
      </c>
      <c r="D80" s="106" t="s">
        <v>847</v>
      </c>
      <c r="E80" s="199"/>
      <c r="F80" s="105">
        <v>2890</v>
      </c>
      <c r="G80" s="105">
        <f>F80-E80-E69</f>
        <v>2890</v>
      </c>
    </row>
    <row r="81" spans="3:4" ht="12.75">
      <c r="C81" s="106" t="s">
        <v>62</v>
      </c>
      <c r="D81" s="106" t="s">
        <v>848</v>
      </c>
    </row>
    <row r="82" spans="3:4" ht="12.75">
      <c r="C82" s="106" t="s">
        <v>64</v>
      </c>
      <c r="D82" s="106" t="s">
        <v>853</v>
      </c>
    </row>
    <row r="83" spans="3:4" ht="12.75">
      <c r="C83" s="188" t="s">
        <v>68</v>
      </c>
      <c r="D83" s="106" t="s">
        <v>849</v>
      </c>
    </row>
    <row r="84" spans="3:4" ht="12.75">
      <c r="C84" s="188" t="s">
        <v>70</v>
      </c>
      <c r="D84" s="106" t="s">
        <v>850</v>
      </c>
    </row>
    <row r="85" spans="3:5" ht="12.75">
      <c r="C85" s="188" t="s">
        <v>89</v>
      </c>
      <c r="D85" s="106" t="s">
        <v>854</v>
      </c>
      <c r="E85" s="105"/>
    </row>
    <row r="86" spans="3:5" ht="12.75">
      <c r="C86" s="106" t="s">
        <v>124</v>
      </c>
      <c r="D86" s="106" t="s">
        <v>846</v>
      </c>
      <c r="E86" s="136">
        <f>B6+B10+C45+C46</f>
        <v>7951.921600000001</v>
      </c>
    </row>
    <row r="87" spans="3:4" ht="12.75">
      <c r="C87" s="106" t="s">
        <v>1033</v>
      </c>
      <c r="D87" s="106" t="s">
        <v>1102</v>
      </c>
    </row>
    <row r="88" spans="3:4" ht="12.75">
      <c r="C88" s="106" t="s">
        <v>1062</v>
      </c>
      <c r="D88" s="106" t="s">
        <v>1103</v>
      </c>
    </row>
    <row r="89" spans="3:4" ht="12.75">
      <c r="C89" s="106" t="s">
        <v>1104</v>
      </c>
      <c r="D89" s="106" t="s">
        <v>1105</v>
      </c>
    </row>
    <row r="90" spans="4:5" ht="12.75">
      <c r="D90" s="200" t="s">
        <v>358</v>
      </c>
      <c r="E90" s="136">
        <f>SUM(E66:E89)</f>
        <v>25812.9244</v>
      </c>
    </row>
    <row r="91" spans="4:5" ht="12.75">
      <c r="D91" s="200" t="s">
        <v>1106</v>
      </c>
      <c r="E91" s="105">
        <f>B64-E90</f>
        <v>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outlinePr summaryBelow="0"/>
  </sheetPr>
  <dimension ref="A2:G87"/>
  <sheetViews>
    <sheetView workbookViewId="0" topLeftCell="A37">
      <selection activeCell="I53" sqref="I5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1189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4376.38</v>
      </c>
    </row>
    <row r="7" spans="2:5" ht="12.75" outlineLevel="1">
      <c r="B7" s="105"/>
      <c r="C7" s="136">
        <v>2188.19</v>
      </c>
      <c r="D7" t="s">
        <v>1190</v>
      </c>
      <c r="E7" s="2" t="s">
        <v>124</v>
      </c>
    </row>
    <row r="8" spans="2:5" ht="12.75" outlineLevel="1">
      <c r="B8" s="105"/>
      <c r="C8" s="136">
        <v>2188.19</v>
      </c>
      <c r="D8" t="s">
        <v>1191</v>
      </c>
      <c r="E8" s="2" t="s">
        <v>124</v>
      </c>
    </row>
    <row r="9" spans="2:5" ht="12.75" outlineLevel="1">
      <c r="B9" s="105"/>
      <c r="C9" s="136">
        <f>SUM(C7:C8)</f>
        <v>4376.38</v>
      </c>
      <c r="D9" t="s">
        <v>358</v>
      </c>
      <c r="E9" s="2"/>
    </row>
    <row r="10" spans="1:5" ht="12.75">
      <c r="A10" t="s">
        <v>876</v>
      </c>
      <c r="B10" s="105">
        <f>C17</f>
        <v>1119.94</v>
      </c>
      <c r="E10" s="2"/>
    </row>
    <row r="11" spans="2:5" ht="12.75" outlineLevel="1">
      <c r="B11" s="105"/>
      <c r="C11" s="136">
        <v>206.8</v>
      </c>
      <c r="D11" t="s">
        <v>1194</v>
      </c>
      <c r="E11" s="2" t="s">
        <v>124</v>
      </c>
    </row>
    <row r="12" spans="2:5" ht="12.75" outlineLevel="1">
      <c r="B12" s="105"/>
      <c r="C12" s="136">
        <v>206.8</v>
      </c>
      <c r="D12" t="s">
        <v>1195</v>
      </c>
      <c r="E12" s="2" t="s">
        <v>124</v>
      </c>
    </row>
    <row r="13" spans="2:5" ht="12.75" outlineLevel="1">
      <c r="B13" s="105"/>
      <c r="C13" s="136">
        <v>270.6</v>
      </c>
      <c r="D13" t="s">
        <v>1196</v>
      </c>
      <c r="E13" s="2" t="s">
        <v>124</v>
      </c>
    </row>
    <row r="14" spans="2:5" ht="12.75" outlineLevel="1">
      <c r="B14" s="105"/>
      <c r="C14" s="136">
        <v>378.16</v>
      </c>
      <c r="D14" t="s">
        <v>1197</v>
      </c>
      <c r="E14" s="2" t="s">
        <v>124</v>
      </c>
    </row>
    <row r="15" spans="2:5" ht="12.75" outlineLevel="1">
      <c r="B15" s="105"/>
      <c r="C15" s="136">
        <v>20.87</v>
      </c>
      <c r="D15" t="s">
        <v>1198</v>
      </c>
      <c r="E15" s="2" t="s">
        <v>124</v>
      </c>
    </row>
    <row r="16" spans="2:5" ht="12.75" outlineLevel="1">
      <c r="B16" s="105"/>
      <c r="C16" s="136">
        <v>36.71</v>
      </c>
      <c r="D16" t="s">
        <v>1199</v>
      </c>
      <c r="E16" s="2" t="s">
        <v>124</v>
      </c>
    </row>
    <row r="17" spans="2:5" ht="12.75" outlineLevel="1">
      <c r="B17" s="105"/>
      <c r="C17" s="136">
        <f>SUM(C11:C16)</f>
        <v>1119.94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1192</v>
      </c>
      <c r="E19" s="2" t="s">
        <v>195</v>
      </c>
    </row>
    <row r="20" spans="2:5" ht="12.75" outlineLevel="1">
      <c r="B20" s="105"/>
      <c r="C20" s="136">
        <v>605.57</v>
      </c>
      <c r="D20" t="s">
        <v>1193</v>
      </c>
      <c r="E20" s="2" t="s">
        <v>195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C31</f>
        <v>536.1800000000001</v>
      </c>
    </row>
    <row r="28" spans="2:5" ht="12.75" outlineLevel="1">
      <c r="B28" s="105"/>
      <c r="C28" s="136">
        <v>200.18</v>
      </c>
      <c r="D28" t="s">
        <v>1202</v>
      </c>
      <c r="E28" s="2" t="s">
        <v>370</v>
      </c>
    </row>
    <row r="29" spans="2:5" ht="12.75" outlineLevel="1">
      <c r="B29" s="105"/>
      <c r="C29" s="136">
        <v>324</v>
      </c>
      <c r="D29" t="s">
        <v>1203</v>
      </c>
      <c r="E29" s="2" t="s">
        <v>370</v>
      </c>
    </row>
    <row r="30" spans="2:5" ht="12.75" outlineLevel="1">
      <c r="B30" s="105"/>
      <c r="C30" s="136">
        <v>12</v>
      </c>
      <c r="D30" t="s">
        <v>1204</v>
      </c>
      <c r="E30" s="2" t="s">
        <v>370</v>
      </c>
    </row>
    <row r="31" spans="2:4" ht="12.75" outlineLevel="1">
      <c r="B31" s="105"/>
      <c r="C31" s="136">
        <f>SUM(C28:C30)</f>
        <v>536.1800000000001</v>
      </c>
      <c r="D31" t="s">
        <v>227</v>
      </c>
    </row>
    <row r="32" spans="1:6" s="68" customFormat="1" ht="12.75">
      <c r="A32" t="s">
        <v>504</v>
      </c>
      <c r="B32" s="156">
        <f>C33</f>
        <v>1933.15</v>
      </c>
      <c r="C32" s="151"/>
      <c r="D32" s="2"/>
      <c r="F32" s="228"/>
    </row>
    <row r="33" spans="1:6" s="68" customFormat="1" ht="12.75" outlineLevel="1">
      <c r="A33"/>
      <c r="B33" s="154"/>
      <c r="C33" s="151">
        <v>1933.15</v>
      </c>
      <c r="D33" s="2" t="s">
        <v>1205</v>
      </c>
      <c r="E33" s="2" t="s">
        <v>370</v>
      </c>
      <c r="F33" s="228"/>
    </row>
    <row r="34" spans="1:5" ht="12.75">
      <c r="A34" t="s">
        <v>885</v>
      </c>
      <c r="B34" s="105">
        <f>C35</f>
        <v>0</v>
      </c>
      <c r="E34" s="2"/>
    </row>
    <row r="35" spans="2:6" s="68" customFormat="1" ht="12.75" outlineLevel="1">
      <c r="B35" s="154"/>
      <c r="C35" s="136">
        <v>0</v>
      </c>
      <c r="D35"/>
      <c r="E35" s="106"/>
      <c r="F35" s="228"/>
    </row>
    <row r="36" spans="1:6" s="68" customFormat="1" ht="12.75">
      <c r="A36" s="2" t="s">
        <v>518</v>
      </c>
      <c r="B36" s="156">
        <f>C37</f>
        <v>0</v>
      </c>
      <c r="C36" s="136"/>
      <c r="D36"/>
      <c r="E36" s="106"/>
      <c r="F36" s="228"/>
    </row>
    <row r="37" spans="1:6" s="68" customFormat="1" ht="12.75" outlineLevel="1">
      <c r="A37" s="2"/>
      <c r="B37" s="156"/>
      <c r="C37" s="136">
        <v>0</v>
      </c>
      <c r="D37" t="s">
        <v>227</v>
      </c>
      <c r="E37" s="188" t="s">
        <v>227</v>
      </c>
      <c r="F37" s="228"/>
    </row>
    <row r="38" spans="1:5" ht="12.75">
      <c r="A38" t="s">
        <v>439</v>
      </c>
      <c r="B38" s="105">
        <f>SUM(B6:B37)</f>
        <v>9176.79</v>
      </c>
      <c r="E38" s="2"/>
    </row>
    <row r="39" spans="2:5" ht="12.75">
      <c r="B39" s="105"/>
      <c r="E39" s="2"/>
    </row>
    <row r="40" spans="1:5" ht="12.75">
      <c r="A40" t="s">
        <v>507</v>
      </c>
      <c r="B40" s="105">
        <f>C48</f>
        <v>4404.8592</v>
      </c>
      <c r="E40" s="2"/>
    </row>
    <row r="41" spans="2:5" ht="12.75" outlineLevel="1">
      <c r="B41" s="105"/>
      <c r="C41" s="136">
        <f>$B$4*B6</f>
        <v>2100.6624</v>
      </c>
      <c r="D41" t="s">
        <v>591</v>
      </c>
      <c r="E41" s="2" t="s">
        <v>124</v>
      </c>
    </row>
    <row r="42" spans="2:5" ht="12.75" outlineLevel="1">
      <c r="B42" s="105"/>
      <c r="C42" s="136">
        <f>$B$4*B10</f>
        <v>537.5712</v>
      </c>
      <c r="D42" t="s">
        <v>500</v>
      </c>
      <c r="E42" s="2" t="s">
        <v>124</v>
      </c>
    </row>
    <row r="43" spans="2:5" ht="12.75" outlineLevel="1">
      <c r="B43" s="105"/>
      <c r="C43" s="136">
        <f>$B$4*B18</f>
        <v>581.3472</v>
      </c>
      <c r="D43" t="s">
        <v>499</v>
      </c>
      <c r="E43" s="2" t="s">
        <v>195</v>
      </c>
    </row>
    <row r="44" spans="2:5" ht="12.75" outlineLevel="1">
      <c r="B44" s="105"/>
      <c r="C44" s="136">
        <f>$B$4*B22</f>
        <v>0</v>
      </c>
      <c r="D44" t="s">
        <v>917</v>
      </c>
      <c r="E44" s="2"/>
    </row>
    <row r="45" spans="2:5" ht="12.75" outlineLevel="1">
      <c r="B45" s="105"/>
      <c r="C45" s="136">
        <f>$B$4*B36</f>
        <v>0</v>
      </c>
      <c r="D45" s="2" t="s">
        <v>518</v>
      </c>
      <c r="E45" s="188"/>
    </row>
    <row r="46" spans="2:5" ht="12.75" outlineLevel="1">
      <c r="B46" s="105"/>
      <c r="C46" s="136">
        <f>$B$4*B27</f>
        <v>257.3664</v>
      </c>
      <c r="D46" t="s">
        <v>1134</v>
      </c>
      <c r="E46" s="2" t="s">
        <v>370</v>
      </c>
    </row>
    <row r="47" spans="2:5" ht="12.75" outlineLevel="1">
      <c r="B47" s="105"/>
      <c r="C47" s="136">
        <f>$B$4*B32</f>
        <v>927.912</v>
      </c>
      <c r="D47" t="s">
        <v>504</v>
      </c>
      <c r="E47" s="2" t="s">
        <v>370</v>
      </c>
    </row>
    <row r="48" spans="2:4" ht="12.75" outlineLevel="1">
      <c r="B48" s="105"/>
      <c r="C48" s="136">
        <f>SUM(C41:C47)</f>
        <v>4404.8592</v>
      </c>
      <c r="D48" t="s">
        <v>237</v>
      </c>
    </row>
    <row r="49" spans="1:2" ht="12.75">
      <c r="A49" t="s">
        <v>509</v>
      </c>
      <c r="B49" s="105">
        <f>B38+B40</f>
        <v>13581.6492</v>
      </c>
    </row>
    <row r="50" ht="12.75">
      <c r="B50" s="105"/>
    </row>
    <row r="51" spans="1:2" ht="12.75">
      <c r="A51" t="s">
        <v>1206</v>
      </c>
      <c r="B51" s="105">
        <f>C52</f>
        <v>2892.7</v>
      </c>
    </row>
    <row r="52" spans="2:5" ht="12.75" outlineLevel="1">
      <c r="B52" s="105"/>
      <c r="C52" s="136">
        <v>2892.7</v>
      </c>
      <c r="D52" t="s">
        <v>1207</v>
      </c>
      <c r="E52" s="188" t="s">
        <v>429</v>
      </c>
    </row>
    <row r="53" spans="1:5" ht="12.75">
      <c r="A53" t="s">
        <v>594</v>
      </c>
      <c r="B53" s="105">
        <f>C57</f>
        <v>18494.07</v>
      </c>
      <c r="E53" s="2"/>
    </row>
    <row r="54" spans="2:5" ht="12.75" outlineLevel="1">
      <c r="B54" s="105"/>
      <c r="C54" s="136">
        <v>5588.64</v>
      </c>
      <c r="D54" t="s">
        <v>1208</v>
      </c>
      <c r="E54" s="188" t="s">
        <v>195</v>
      </c>
    </row>
    <row r="55" spans="2:5" ht="12.75" outlineLevel="1">
      <c r="B55" s="105"/>
      <c r="C55" s="136">
        <v>6583.8</v>
      </c>
      <c r="D55" t="s">
        <v>1209</v>
      </c>
      <c r="E55" s="188" t="s">
        <v>195</v>
      </c>
    </row>
    <row r="56" spans="2:5" ht="12.75" outlineLevel="1">
      <c r="B56" s="105"/>
      <c r="C56" s="136">
        <v>6321.63</v>
      </c>
      <c r="D56" t="s">
        <v>1210</v>
      </c>
      <c r="E56" s="188" t="s">
        <v>196</v>
      </c>
    </row>
    <row r="57" spans="2:5" ht="12.75" outlineLevel="1">
      <c r="B57" s="105"/>
      <c r="C57" s="105">
        <f>SUM(C54:C56)</f>
        <v>18494.07</v>
      </c>
      <c r="E57" s="2"/>
    </row>
    <row r="58" spans="1:5" ht="12.75">
      <c r="A58" t="s">
        <v>368</v>
      </c>
      <c r="B58" s="105">
        <f>B53+B51</f>
        <v>21386.77</v>
      </c>
      <c r="C58" s="105"/>
      <c r="E58" s="2"/>
    </row>
    <row r="59" spans="2:5" ht="12.75">
      <c r="B59" s="105"/>
      <c r="C59" s="105"/>
      <c r="E59" s="2"/>
    </row>
    <row r="60" spans="1:2" ht="12.75">
      <c r="A60" t="s">
        <v>415</v>
      </c>
      <c r="B60" s="105">
        <f>B58+B49</f>
        <v>34968.419200000004</v>
      </c>
    </row>
    <row r="61" ht="12.75">
      <c r="B61" s="105"/>
    </row>
    <row r="62" spans="3:5" ht="12.75">
      <c r="C62" s="188" t="s">
        <v>429</v>
      </c>
      <c r="D62" s="188" t="s">
        <v>1024</v>
      </c>
      <c r="E62" s="136">
        <f>C52</f>
        <v>2892.7</v>
      </c>
    </row>
    <row r="63" spans="3:5" ht="12.75">
      <c r="C63" s="188" t="s">
        <v>370</v>
      </c>
      <c r="D63" s="188" t="s">
        <v>367</v>
      </c>
      <c r="E63" s="136">
        <f>B27+B32+C46+C47</f>
        <v>3654.6084</v>
      </c>
    </row>
    <row r="64" spans="3:4" ht="12.75">
      <c r="C64" s="188" t="s">
        <v>182</v>
      </c>
      <c r="D64" s="188" t="s">
        <v>855</v>
      </c>
    </row>
    <row r="65" spans="3:6" ht="12.75">
      <c r="C65" s="188" t="s">
        <v>187</v>
      </c>
      <c r="D65" s="189" t="s">
        <v>1779</v>
      </c>
      <c r="E65" s="199"/>
      <c r="F65" s="105"/>
    </row>
    <row r="66" spans="3:4" ht="12.75">
      <c r="C66" s="188" t="s">
        <v>189</v>
      </c>
      <c r="D66" s="106" t="s">
        <v>851</v>
      </c>
    </row>
    <row r="67" spans="3:4" ht="12.75">
      <c r="C67" s="106" t="s">
        <v>190</v>
      </c>
      <c r="D67" s="106" t="s">
        <v>852</v>
      </c>
    </row>
    <row r="68" spans="3:4" ht="12.75">
      <c r="C68" s="188" t="s">
        <v>192</v>
      </c>
      <c r="D68" s="200" t="s">
        <v>1025</v>
      </c>
    </row>
    <row r="69" spans="3:4" ht="12.75">
      <c r="C69" s="188" t="s">
        <v>193</v>
      </c>
      <c r="D69" s="200" t="s">
        <v>1026</v>
      </c>
    </row>
    <row r="70" spans="3:5" ht="12.75">
      <c r="C70" s="188" t="s">
        <v>195</v>
      </c>
      <c r="D70" s="200" t="s">
        <v>1029</v>
      </c>
      <c r="E70" s="105">
        <f>B18+C43+C44+B22+C54+C55</f>
        <v>13964.927200000002</v>
      </c>
    </row>
    <row r="71" spans="3:5" ht="12.75">
      <c r="C71" s="188" t="s">
        <v>196</v>
      </c>
      <c r="D71" s="200" t="s">
        <v>1030</v>
      </c>
      <c r="E71" s="136">
        <f>C56</f>
        <v>6321.63</v>
      </c>
    </row>
    <row r="72" spans="3:4" ht="12.75">
      <c r="C72" s="188" t="s">
        <v>198</v>
      </c>
      <c r="D72" s="200" t="s">
        <v>1099</v>
      </c>
    </row>
    <row r="73" spans="3:4" ht="12.75">
      <c r="C73" s="188" t="s">
        <v>199</v>
      </c>
      <c r="D73" s="200" t="s">
        <v>1100</v>
      </c>
    </row>
    <row r="74" spans="3:4" ht="12.75">
      <c r="C74" s="188" t="s">
        <v>200</v>
      </c>
      <c r="D74" s="200" t="s">
        <v>1101</v>
      </c>
    </row>
    <row r="75" spans="3:4" ht="12.75">
      <c r="C75" s="188" t="s">
        <v>17</v>
      </c>
      <c r="D75" s="200" t="s">
        <v>18</v>
      </c>
    </row>
    <row r="76" spans="3:7" ht="12.75">
      <c r="C76" s="106" t="s">
        <v>60</v>
      </c>
      <c r="D76" s="106" t="s">
        <v>847</v>
      </c>
      <c r="E76" s="199"/>
      <c r="F76" s="105">
        <v>2890</v>
      </c>
      <c r="G76" s="105">
        <f>F76-E76-E65</f>
        <v>2890</v>
      </c>
    </row>
    <row r="77" spans="3:4" ht="12.75">
      <c r="C77" s="106" t="s">
        <v>62</v>
      </c>
      <c r="D77" s="106" t="s">
        <v>848</v>
      </c>
    </row>
    <row r="78" spans="3:4" ht="12.75">
      <c r="C78" s="106" t="s">
        <v>64</v>
      </c>
      <c r="D78" s="106" t="s">
        <v>853</v>
      </c>
    </row>
    <row r="79" spans="3:4" ht="12.75">
      <c r="C79" s="188" t="s">
        <v>68</v>
      </c>
      <c r="D79" s="106" t="s">
        <v>849</v>
      </c>
    </row>
    <row r="80" spans="3:4" ht="12.75">
      <c r="C80" s="188" t="s">
        <v>70</v>
      </c>
      <c r="D80" s="106" t="s">
        <v>850</v>
      </c>
    </row>
    <row r="81" spans="3:5" ht="12.75">
      <c r="C81" s="188" t="s">
        <v>89</v>
      </c>
      <c r="D81" s="106" t="s">
        <v>854</v>
      </c>
      <c r="E81" s="105"/>
    </row>
    <row r="82" spans="3:5" ht="12.75">
      <c r="C82" s="106" t="s">
        <v>124</v>
      </c>
      <c r="D82" s="106" t="s">
        <v>846</v>
      </c>
      <c r="E82" s="136">
        <f>B6+B10+C41+C42</f>
        <v>8134.5536</v>
      </c>
    </row>
    <row r="83" spans="3:4" ht="12.75">
      <c r="C83" s="106" t="s">
        <v>1033</v>
      </c>
      <c r="D83" s="106" t="s">
        <v>1102</v>
      </c>
    </row>
    <row r="84" spans="3:4" ht="12.75">
      <c r="C84" s="106" t="s">
        <v>1062</v>
      </c>
      <c r="D84" s="106" t="s">
        <v>1103</v>
      </c>
    </row>
    <row r="85" spans="3:4" ht="12.75">
      <c r="C85" s="106" t="s">
        <v>1104</v>
      </c>
      <c r="D85" s="106" t="s">
        <v>1105</v>
      </c>
    </row>
    <row r="86" spans="4:5" ht="12.75">
      <c r="D86" s="200" t="s">
        <v>358</v>
      </c>
      <c r="E86" s="136">
        <f>SUM(E62:E85)</f>
        <v>34968.419200000004</v>
      </c>
    </row>
    <row r="87" spans="4:5" ht="12.75">
      <c r="D87" s="200" t="s">
        <v>1106</v>
      </c>
      <c r="E87" s="105">
        <f>B60-E86</f>
        <v>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outlinePr summaryBelow="0"/>
  </sheetPr>
  <dimension ref="A2:K97"/>
  <sheetViews>
    <sheetView workbookViewId="0" topLeftCell="A23">
      <selection activeCell="A101" sqref="A101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  <col min="8" max="8" width="14.00390625" style="0" customWidth="1"/>
  </cols>
  <sheetData>
    <row r="2" spans="1:3" ht="12.75">
      <c r="A2" t="s">
        <v>392</v>
      </c>
      <c r="B2" t="s">
        <v>1296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C10</f>
        <v>6727.129999999999</v>
      </c>
    </row>
    <row r="7" spans="2:5" ht="12.75" outlineLevel="1">
      <c r="B7" s="105"/>
      <c r="C7" s="136">
        <v>2188.19</v>
      </c>
      <c r="D7" t="s">
        <v>1297</v>
      </c>
      <c r="E7" s="2" t="s">
        <v>124</v>
      </c>
    </row>
    <row r="8" spans="2:5" ht="12.75" outlineLevel="1">
      <c r="B8" s="105"/>
      <c r="C8" s="136">
        <v>2263.22</v>
      </c>
      <c r="D8" t="s">
        <v>1301</v>
      </c>
      <c r="E8" s="2" t="s">
        <v>124</v>
      </c>
    </row>
    <row r="9" spans="2:5" ht="12.75" outlineLevel="1">
      <c r="B9" s="105"/>
      <c r="C9" s="136">
        <v>2275.72</v>
      </c>
      <c r="D9" t="s">
        <v>1302</v>
      </c>
      <c r="E9" s="2" t="s">
        <v>124</v>
      </c>
    </row>
    <row r="10" spans="2:5" ht="12.75" outlineLevel="1">
      <c r="B10" s="105"/>
      <c r="C10" s="136">
        <f>SUM(C7:C9)</f>
        <v>6727.129999999999</v>
      </c>
      <c r="D10" t="s">
        <v>358</v>
      </c>
      <c r="E10" s="2"/>
    </row>
    <row r="11" spans="1:5" ht="12.75">
      <c r="A11" t="s">
        <v>876</v>
      </c>
      <c r="B11" s="105">
        <f>C19</f>
        <v>1517.2400000000002</v>
      </c>
      <c r="E11" s="2"/>
    </row>
    <row r="12" spans="2:5" ht="12.75" outlineLevel="1">
      <c r="B12" s="105"/>
      <c r="C12" s="136">
        <v>206.8</v>
      </c>
      <c r="D12" t="s">
        <v>1303</v>
      </c>
      <c r="E12" s="2" t="s">
        <v>124</v>
      </c>
    </row>
    <row r="13" spans="2:5" ht="12.75" outlineLevel="1">
      <c r="B13" s="105"/>
      <c r="C13" s="136">
        <v>215.07</v>
      </c>
      <c r="D13" t="s">
        <v>1304</v>
      </c>
      <c r="E13" s="2" t="s">
        <v>124</v>
      </c>
    </row>
    <row r="14" spans="2:5" ht="12.75" outlineLevel="1">
      <c r="B14" s="105"/>
      <c r="C14" s="136">
        <v>215.07</v>
      </c>
      <c r="D14" t="s">
        <v>1305</v>
      </c>
      <c r="E14" s="2" t="s">
        <v>124</v>
      </c>
    </row>
    <row r="15" spans="2:5" ht="12.75" outlineLevel="1">
      <c r="B15" s="105"/>
      <c r="C15" s="136">
        <v>402.42</v>
      </c>
      <c r="D15" t="s">
        <v>1306</v>
      </c>
      <c r="E15" s="2" t="s">
        <v>124</v>
      </c>
    </row>
    <row r="16" spans="2:5" ht="12.75" outlineLevel="1">
      <c r="B16" s="105"/>
      <c r="C16" s="136">
        <v>402.42</v>
      </c>
      <c r="D16" t="s">
        <v>1307</v>
      </c>
      <c r="E16" s="2" t="s">
        <v>124</v>
      </c>
    </row>
    <row r="17" spans="2:5" ht="12.75" outlineLevel="1">
      <c r="B17" s="105"/>
      <c r="C17" s="136">
        <v>37.73</v>
      </c>
      <c r="D17" t="s">
        <v>1308</v>
      </c>
      <c r="E17" s="2" t="s">
        <v>124</v>
      </c>
    </row>
    <row r="18" spans="2:5" ht="12.75" outlineLevel="1">
      <c r="B18" s="105"/>
      <c r="C18" s="136">
        <v>37.73</v>
      </c>
      <c r="D18" t="s">
        <v>1309</v>
      </c>
      <c r="E18" s="2" t="s">
        <v>124</v>
      </c>
    </row>
    <row r="19" spans="2:5" ht="12.75" outlineLevel="1">
      <c r="B19" s="105"/>
      <c r="C19" s="136">
        <f>SUM(C12:C18)</f>
        <v>1517.2400000000002</v>
      </c>
      <c r="D19" t="s">
        <v>358</v>
      </c>
      <c r="E19" s="2"/>
    </row>
    <row r="20" spans="1:5" ht="12.75">
      <c r="A20" t="s">
        <v>499</v>
      </c>
      <c r="B20" s="105">
        <f>C24</f>
        <v>1816.71</v>
      </c>
      <c r="E20" s="2"/>
    </row>
    <row r="21" spans="2:5" ht="12.75" outlineLevel="1">
      <c r="B21" s="105"/>
      <c r="C21" s="136">
        <v>605.57</v>
      </c>
      <c r="D21" t="s">
        <v>1298</v>
      </c>
      <c r="E21" s="2" t="s">
        <v>189</v>
      </c>
    </row>
    <row r="22" spans="2:5" ht="12.75" outlineLevel="1">
      <c r="B22" s="105"/>
      <c r="C22" s="136">
        <v>605.57</v>
      </c>
      <c r="D22" t="s">
        <v>1299</v>
      </c>
      <c r="E22" s="2" t="s">
        <v>189</v>
      </c>
    </row>
    <row r="23" spans="2:5" ht="12.75" outlineLevel="1">
      <c r="B23" s="105"/>
      <c r="C23" s="136">
        <v>605.57</v>
      </c>
      <c r="D23" t="s">
        <v>1300</v>
      </c>
      <c r="E23" s="2" t="s">
        <v>189</v>
      </c>
    </row>
    <row r="24" spans="2:4" ht="12.75" outlineLevel="1">
      <c r="B24" s="105"/>
      <c r="C24" s="136">
        <f>SUM(C21:C23)</f>
        <v>1816.71</v>
      </c>
      <c r="D24" t="s">
        <v>358</v>
      </c>
    </row>
    <row r="25" spans="1:5" ht="12.75">
      <c r="A25" t="s">
        <v>917</v>
      </c>
      <c r="B25" s="105">
        <f>C27</f>
        <v>0</v>
      </c>
      <c r="E25" s="2"/>
    </row>
    <row r="26" spans="2:5" ht="12.75" outlineLevel="1">
      <c r="B26" s="105"/>
      <c r="C26" s="136">
        <v>0</v>
      </c>
      <c r="E26" s="2"/>
    </row>
    <row r="27" spans="2:3" ht="12.75" outlineLevel="1">
      <c r="B27" s="105"/>
      <c r="C27" s="136">
        <f>SUM(C26:C26)</f>
        <v>0</v>
      </c>
    </row>
    <row r="28" spans="1:2" ht="12.75">
      <c r="A28" t="s">
        <v>1142</v>
      </c>
      <c r="B28" s="105">
        <f>C29</f>
        <v>0</v>
      </c>
    </row>
    <row r="29" spans="2:7" ht="12.75" outlineLevel="1">
      <c r="B29" s="105"/>
      <c r="C29" s="136">
        <v>0</v>
      </c>
      <c r="E29" s="188"/>
      <c r="F29" s="106"/>
      <c r="G29" s="188"/>
    </row>
    <row r="30" spans="1:2" ht="12.75">
      <c r="A30" t="s">
        <v>1134</v>
      </c>
      <c r="B30" s="105">
        <f>C33</f>
        <v>273</v>
      </c>
    </row>
    <row r="31" spans="2:5" ht="12.75" outlineLevel="1">
      <c r="B31" s="105"/>
      <c r="C31" s="136">
        <v>261</v>
      </c>
      <c r="D31" t="s">
        <v>1310</v>
      </c>
      <c r="E31" s="2" t="s">
        <v>370</v>
      </c>
    </row>
    <row r="32" spans="2:5" ht="12.75" outlineLevel="1">
      <c r="B32" s="105"/>
      <c r="C32" s="136">
        <v>12</v>
      </c>
      <c r="D32" t="s">
        <v>1311</v>
      </c>
      <c r="E32" s="2" t="s">
        <v>370</v>
      </c>
    </row>
    <row r="33" spans="2:4" ht="12.75" outlineLevel="1">
      <c r="B33" s="105"/>
      <c r="C33" s="136">
        <f>SUM(C31:C32)</f>
        <v>273</v>
      </c>
      <c r="D33" t="s">
        <v>227</v>
      </c>
    </row>
    <row r="34" spans="1:6" s="68" customFormat="1" ht="12.75">
      <c r="A34" t="s">
        <v>504</v>
      </c>
      <c r="B34" s="156">
        <f>C38</f>
        <v>1413.21</v>
      </c>
      <c r="C34" s="151"/>
      <c r="D34" s="2"/>
      <c r="F34" s="228"/>
    </row>
    <row r="35" spans="1:6" s="68" customFormat="1" ht="12.75" outlineLevel="1">
      <c r="A35"/>
      <c r="B35" s="156"/>
      <c r="C35" s="151">
        <v>1001.08</v>
      </c>
      <c r="D35" s="2" t="s">
        <v>1313</v>
      </c>
      <c r="E35" s="2" t="s">
        <v>370</v>
      </c>
      <c r="F35" s="228"/>
    </row>
    <row r="36" spans="1:6" s="68" customFormat="1" ht="12.75" outlineLevel="1">
      <c r="A36"/>
      <c r="B36" s="156"/>
      <c r="C36" s="151">
        <v>10</v>
      </c>
      <c r="D36" s="2" t="s">
        <v>1312</v>
      </c>
      <c r="E36" s="2" t="s">
        <v>370</v>
      </c>
      <c r="F36" s="228"/>
    </row>
    <row r="37" spans="1:6" s="68" customFormat="1" ht="12.75" outlineLevel="1">
      <c r="A37"/>
      <c r="B37" s="156"/>
      <c r="C37" s="151">
        <v>402.13</v>
      </c>
      <c r="D37" s="2" t="s">
        <v>1314</v>
      </c>
      <c r="E37" s="2" t="s">
        <v>370</v>
      </c>
      <c r="F37" s="228"/>
    </row>
    <row r="38" spans="1:6" s="68" customFormat="1" ht="12.75" outlineLevel="1">
      <c r="A38"/>
      <c r="B38" s="154"/>
      <c r="C38" s="151">
        <f>SUM(C35:C37)</f>
        <v>1413.21</v>
      </c>
      <c r="F38" s="228"/>
    </row>
    <row r="39" spans="1:5" ht="12.75">
      <c r="A39" t="s">
        <v>885</v>
      </c>
      <c r="B39" s="105">
        <f>C40</f>
        <v>0</v>
      </c>
      <c r="E39" s="2"/>
    </row>
    <row r="40" spans="2:6" s="68" customFormat="1" ht="12.75" outlineLevel="1">
      <c r="B40" s="154"/>
      <c r="C40" s="136">
        <v>0</v>
      </c>
      <c r="D40"/>
      <c r="E40" s="106"/>
      <c r="F40" s="228"/>
    </row>
    <row r="41" spans="1:6" s="68" customFormat="1" ht="12.75">
      <c r="A41" s="2" t="s">
        <v>518</v>
      </c>
      <c r="B41" s="156">
        <f>C42</f>
        <v>0</v>
      </c>
      <c r="C41" s="136"/>
      <c r="D41"/>
      <c r="E41" s="106"/>
      <c r="F41" s="228"/>
    </row>
    <row r="42" spans="1:6" s="68" customFormat="1" ht="12.75" outlineLevel="1">
      <c r="A42" s="2"/>
      <c r="B42" s="156"/>
      <c r="C42" s="136">
        <v>0</v>
      </c>
      <c r="D42" t="s">
        <v>227</v>
      </c>
      <c r="E42" s="188" t="s">
        <v>227</v>
      </c>
      <c r="F42" s="228"/>
    </row>
    <row r="43" spans="1:5" ht="12.75">
      <c r="A43" t="s">
        <v>439</v>
      </c>
      <c r="B43" s="105">
        <f>SUM(B6:B42)</f>
        <v>11747.289999999997</v>
      </c>
      <c r="E43" s="2"/>
    </row>
    <row r="44" spans="2:11" ht="12.75">
      <c r="B44" s="105"/>
      <c r="E44" s="2"/>
      <c r="G44" s="106"/>
      <c r="H44" s="106"/>
      <c r="I44" s="106"/>
      <c r="J44" s="106"/>
      <c r="K44" s="106"/>
    </row>
    <row r="45" spans="1:11" ht="12.75">
      <c r="A45" t="s">
        <v>507</v>
      </c>
      <c r="B45" s="105">
        <f>C53</f>
        <v>5638.699199999999</v>
      </c>
      <c r="E45" s="2"/>
      <c r="G45" s="106"/>
      <c r="H45" s="106"/>
      <c r="I45" s="106"/>
      <c r="J45" s="106"/>
      <c r="K45" s="106"/>
    </row>
    <row r="46" spans="2:11" ht="12.75" outlineLevel="1">
      <c r="B46" s="105"/>
      <c r="C46" s="136">
        <f>$B$4*B6</f>
        <v>3229.0223999999994</v>
      </c>
      <c r="D46" t="s">
        <v>591</v>
      </c>
      <c r="E46" s="2" t="s">
        <v>124</v>
      </c>
      <c r="G46" s="106"/>
      <c r="H46" s="106"/>
      <c r="I46" s="106"/>
      <c r="J46" s="106"/>
      <c r="K46" s="106"/>
    </row>
    <row r="47" spans="2:11" ht="12.75" outlineLevel="1">
      <c r="B47" s="105"/>
      <c r="C47" s="136">
        <f>$B$4*B11</f>
        <v>728.2752</v>
      </c>
      <c r="D47" t="s">
        <v>500</v>
      </c>
      <c r="E47" s="2" t="s">
        <v>124</v>
      </c>
      <c r="G47" s="106"/>
      <c r="H47" s="106"/>
      <c r="I47" s="139"/>
      <c r="J47" s="106"/>
      <c r="K47" s="106"/>
    </row>
    <row r="48" spans="2:11" ht="12.75" outlineLevel="1">
      <c r="B48" s="105"/>
      <c r="C48" s="136">
        <f>$B$4*B20</f>
        <v>872.0208</v>
      </c>
      <c r="D48" t="s">
        <v>499</v>
      </c>
      <c r="E48" s="2" t="s">
        <v>195</v>
      </c>
      <c r="G48" s="106"/>
      <c r="H48" s="106"/>
      <c r="I48" s="139"/>
      <c r="J48" s="106"/>
      <c r="K48" s="106"/>
    </row>
    <row r="49" spans="2:11" ht="12.75" outlineLevel="1">
      <c r="B49" s="105"/>
      <c r="C49" s="136">
        <f>$B$4*B25</f>
        <v>0</v>
      </c>
      <c r="D49" t="s">
        <v>917</v>
      </c>
      <c r="E49" s="2"/>
      <c r="G49" s="106"/>
      <c r="H49" s="106"/>
      <c r="I49" s="139"/>
      <c r="J49" s="106"/>
      <c r="K49" s="106"/>
    </row>
    <row r="50" spans="2:11" ht="12.75" outlineLevel="1">
      <c r="B50" s="105"/>
      <c r="C50" s="136">
        <f>$B$4*B41</f>
        <v>0</v>
      </c>
      <c r="D50" s="2" t="s">
        <v>518</v>
      </c>
      <c r="E50" s="188"/>
      <c r="G50" s="106"/>
      <c r="H50" s="106"/>
      <c r="I50" s="139"/>
      <c r="J50" s="106"/>
      <c r="K50" s="106"/>
    </row>
    <row r="51" spans="2:11" ht="12.75" outlineLevel="1">
      <c r="B51" s="105"/>
      <c r="C51" s="136">
        <f>$B$4*B30</f>
        <v>131.04</v>
      </c>
      <c r="D51" t="s">
        <v>1134</v>
      </c>
      <c r="E51" s="2" t="s">
        <v>370</v>
      </c>
      <c r="G51" s="106"/>
      <c r="H51" s="139"/>
      <c r="I51" s="139"/>
      <c r="J51" s="140"/>
      <c r="K51" s="106"/>
    </row>
    <row r="52" spans="2:11" ht="12.75" outlineLevel="1">
      <c r="B52" s="105"/>
      <c r="C52" s="136">
        <f>$B$4*B34</f>
        <v>678.3408</v>
      </c>
      <c r="D52" t="s">
        <v>504</v>
      </c>
      <c r="E52" s="2" t="s">
        <v>370</v>
      </c>
      <c r="G52" s="106"/>
      <c r="H52" s="139"/>
      <c r="I52" s="139"/>
      <c r="J52" s="140"/>
      <c r="K52" s="106"/>
    </row>
    <row r="53" spans="2:11" ht="12.75" outlineLevel="1">
      <c r="B53" s="105"/>
      <c r="C53" s="136">
        <f>SUM(C46:C52)</f>
        <v>5638.699199999999</v>
      </c>
      <c r="D53" t="s">
        <v>237</v>
      </c>
      <c r="G53" s="106"/>
      <c r="H53" s="106"/>
      <c r="I53" s="106"/>
      <c r="J53" s="106"/>
      <c r="K53" s="106"/>
    </row>
    <row r="54" spans="1:11" ht="12.75">
      <c r="A54" t="s">
        <v>509</v>
      </c>
      <c r="B54" s="105">
        <f>B43+B45</f>
        <v>17385.989199999996</v>
      </c>
      <c r="G54" s="106"/>
      <c r="H54" s="106"/>
      <c r="I54" s="106"/>
      <c r="J54" s="106"/>
      <c r="K54" s="106"/>
    </row>
    <row r="55" spans="2:11" ht="12.75">
      <c r="B55" s="105"/>
      <c r="G55" s="106"/>
      <c r="H55" s="106"/>
      <c r="I55" s="106"/>
      <c r="J55" s="106"/>
      <c r="K55" s="106"/>
    </row>
    <row r="56" spans="1:11" ht="12.75">
      <c r="A56" t="s">
        <v>1206</v>
      </c>
      <c r="B56" s="105">
        <f>C57</f>
        <v>0</v>
      </c>
      <c r="G56" s="106"/>
      <c r="H56" s="106"/>
      <c r="I56" s="106"/>
      <c r="J56" s="106"/>
      <c r="K56" s="106"/>
    </row>
    <row r="57" spans="2:11" ht="12.75" outlineLevel="1">
      <c r="B57" s="105"/>
      <c r="C57" s="136">
        <v>0</v>
      </c>
      <c r="E57" s="188"/>
      <c r="G57" s="106"/>
      <c r="H57" s="106"/>
      <c r="I57" s="106"/>
      <c r="J57" s="106"/>
      <c r="K57" s="106"/>
    </row>
    <row r="58" spans="1:11" ht="12.75">
      <c r="A58" t="s">
        <v>594</v>
      </c>
      <c r="B58" s="105">
        <f>C67</f>
        <v>22155.5</v>
      </c>
      <c r="E58" s="2"/>
      <c r="G58" s="106"/>
      <c r="H58" s="106"/>
      <c r="I58" s="106"/>
      <c r="J58" s="106"/>
      <c r="K58" s="106"/>
    </row>
    <row r="59" spans="2:11" ht="12.75" outlineLevel="1">
      <c r="B59" s="105"/>
      <c r="C59" s="136">
        <v>3255.7</v>
      </c>
      <c r="D59" t="s">
        <v>1315</v>
      </c>
      <c r="E59" s="188" t="s">
        <v>17</v>
      </c>
      <c r="G59" s="106"/>
      <c r="H59" s="106"/>
      <c r="I59" s="106"/>
      <c r="J59" s="106"/>
      <c r="K59" s="106"/>
    </row>
    <row r="60" spans="2:5" ht="12.75" outlineLevel="1">
      <c r="B60" s="105"/>
      <c r="C60" s="136">
        <v>6945.17</v>
      </c>
      <c r="D60" t="s">
        <v>1316</v>
      </c>
      <c r="E60" s="188" t="s">
        <v>189</v>
      </c>
    </row>
    <row r="61" spans="2:5" ht="12.75" outlineLevel="1">
      <c r="B61" s="105"/>
      <c r="C61" s="136">
        <v>6869.68</v>
      </c>
      <c r="D61" t="s">
        <v>1317</v>
      </c>
      <c r="E61" s="188" t="s">
        <v>196</v>
      </c>
    </row>
    <row r="62" spans="2:5" ht="12.75" outlineLevel="1">
      <c r="B62" s="143"/>
      <c r="C62" s="269">
        <v>2256</v>
      </c>
      <c r="D62" s="270" t="s">
        <v>1347</v>
      </c>
      <c r="E62" s="188" t="s">
        <v>196</v>
      </c>
    </row>
    <row r="63" spans="2:5" ht="12.75" outlineLevel="1">
      <c r="B63" s="143"/>
      <c r="C63" s="269">
        <v>1800</v>
      </c>
      <c r="D63" s="270" t="s">
        <v>1349</v>
      </c>
      <c r="E63" s="188" t="s">
        <v>196</v>
      </c>
    </row>
    <row r="64" spans="2:5" ht="12.75" outlineLevel="1">
      <c r="B64" s="143"/>
      <c r="C64" s="269">
        <v>656</v>
      </c>
      <c r="D64" s="270" t="s">
        <v>1348</v>
      </c>
      <c r="E64" s="188" t="s">
        <v>196</v>
      </c>
    </row>
    <row r="65" spans="2:5" ht="12.75" outlineLevel="1">
      <c r="B65" s="143"/>
      <c r="C65" s="269">
        <v>195</v>
      </c>
      <c r="D65" s="270" t="s">
        <v>1350</v>
      </c>
      <c r="E65" s="106" t="s">
        <v>62</v>
      </c>
    </row>
    <row r="66" spans="2:5" ht="12.75" outlineLevel="1">
      <c r="B66" s="105"/>
      <c r="C66" s="136">
        <v>177.95</v>
      </c>
      <c r="D66" s="268" t="s">
        <v>1353</v>
      </c>
      <c r="E66" s="188" t="s">
        <v>196</v>
      </c>
    </row>
    <row r="67" spans="2:5" ht="12.75" outlineLevel="1">
      <c r="B67" s="105"/>
      <c r="C67" s="105">
        <f>SUM(C59:C66)</f>
        <v>22155.5</v>
      </c>
      <c r="E67" s="2"/>
    </row>
    <row r="68" spans="1:5" ht="12.75">
      <c r="A68" t="s">
        <v>368</v>
      </c>
      <c r="B68" s="105">
        <f>B58+B56</f>
        <v>22155.5</v>
      </c>
      <c r="C68" s="105"/>
      <c r="E68" s="2"/>
    </row>
    <row r="69" spans="2:5" ht="12.75">
      <c r="B69" s="105"/>
      <c r="C69" s="105"/>
      <c r="E69" s="2"/>
    </row>
    <row r="70" spans="1:2" ht="12.75">
      <c r="A70" t="s">
        <v>415</v>
      </c>
      <c r="B70" s="105">
        <f>B68+B54</f>
        <v>39541.489199999996</v>
      </c>
    </row>
    <row r="71" ht="12.75">
      <c r="B71" s="105"/>
    </row>
    <row r="72" spans="3:5" ht="12.75">
      <c r="C72" s="188" t="s">
        <v>429</v>
      </c>
      <c r="D72" s="188" t="s">
        <v>1024</v>
      </c>
      <c r="E72" s="136">
        <f>C57</f>
        <v>0</v>
      </c>
    </row>
    <row r="73" spans="3:5" ht="12.75">
      <c r="C73" s="188" t="s">
        <v>370</v>
      </c>
      <c r="D73" s="188" t="s">
        <v>367</v>
      </c>
      <c r="E73" s="136">
        <f>B30+B34+C51+C52</f>
        <v>2495.5908</v>
      </c>
    </row>
    <row r="74" spans="3:4" ht="12.75">
      <c r="C74" s="188" t="s">
        <v>182</v>
      </c>
      <c r="D74" s="188" t="s">
        <v>855</v>
      </c>
    </row>
    <row r="75" spans="3:6" ht="12.75">
      <c r="C75" s="188" t="s">
        <v>187</v>
      </c>
      <c r="D75" s="189" t="s">
        <v>1779</v>
      </c>
      <c r="E75" s="199"/>
      <c r="F75" s="105"/>
    </row>
    <row r="76" spans="3:5" ht="12.75">
      <c r="C76" s="188" t="s">
        <v>189</v>
      </c>
      <c r="D76" s="106" t="s">
        <v>851</v>
      </c>
      <c r="E76" s="136">
        <f>C60+B20</f>
        <v>8761.880000000001</v>
      </c>
    </row>
    <row r="77" spans="3:4" ht="12.75">
      <c r="C77" s="106" t="s">
        <v>190</v>
      </c>
      <c r="D77" s="106" t="s">
        <v>852</v>
      </c>
    </row>
    <row r="78" spans="3:4" ht="12.75">
      <c r="C78" s="188" t="s">
        <v>192</v>
      </c>
      <c r="D78" s="200" t="s">
        <v>1025</v>
      </c>
    </row>
    <row r="79" spans="3:4" ht="12.75">
      <c r="C79" s="188" t="s">
        <v>193</v>
      </c>
      <c r="D79" s="200" t="s">
        <v>1026</v>
      </c>
    </row>
    <row r="80" spans="3:5" ht="12.75">
      <c r="C80" s="188" t="s">
        <v>195</v>
      </c>
      <c r="D80" s="200" t="s">
        <v>1029</v>
      </c>
      <c r="E80" s="105">
        <f>C48+C49+B25+C61</f>
        <v>7741.7008000000005</v>
      </c>
    </row>
    <row r="81" spans="3:5" ht="12.75">
      <c r="C81" s="188" t="s">
        <v>196</v>
      </c>
      <c r="D81" s="200" t="s">
        <v>1030</v>
      </c>
      <c r="E81" s="136">
        <f>C62+C63+C64+C66</f>
        <v>4889.95</v>
      </c>
    </row>
    <row r="82" spans="3:4" ht="12.75">
      <c r="C82" s="188" t="s">
        <v>198</v>
      </c>
      <c r="D82" s="200" t="s">
        <v>1099</v>
      </c>
    </row>
    <row r="83" spans="3:4" ht="12.75">
      <c r="C83" s="188" t="s">
        <v>199</v>
      </c>
      <c r="D83" s="200" t="s">
        <v>1100</v>
      </c>
    </row>
    <row r="84" spans="3:4" ht="12.75">
      <c r="C84" s="188" t="s">
        <v>200</v>
      </c>
      <c r="D84" s="200" t="s">
        <v>1101</v>
      </c>
    </row>
    <row r="85" spans="3:5" ht="12.75">
      <c r="C85" s="188" t="s">
        <v>17</v>
      </c>
      <c r="D85" s="200" t="s">
        <v>18</v>
      </c>
      <c r="E85" s="136">
        <f>C59</f>
        <v>3255.7</v>
      </c>
    </row>
    <row r="86" spans="3:7" ht="12.75">
      <c r="C86" s="106" t="s">
        <v>60</v>
      </c>
      <c r="D86" s="106" t="s">
        <v>847</v>
      </c>
      <c r="E86" s="199"/>
      <c r="F86" s="105">
        <v>2890</v>
      </c>
      <c r="G86" s="105">
        <f>F86-E86-E75</f>
        <v>2890</v>
      </c>
    </row>
    <row r="87" spans="3:5" ht="12.75">
      <c r="C87" s="106" t="s">
        <v>62</v>
      </c>
      <c r="D87" s="106" t="s">
        <v>848</v>
      </c>
      <c r="E87" s="105">
        <f>C65</f>
        <v>195</v>
      </c>
    </row>
    <row r="88" spans="3:4" ht="12.75">
      <c r="C88" s="106" t="s">
        <v>64</v>
      </c>
      <c r="D88" s="106" t="s">
        <v>853</v>
      </c>
    </row>
    <row r="89" spans="3:4" ht="12.75">
      <c r="C89" s="188" t="s">
        <v>68</v>
      </c>
      <c r="D89" s="106" t="s">
        <v>849</v>
      </c>
    </row>
    <row r="90" spans="3:4" ht="12.75">
      <c r="C90" s="188" t="s">
        <v>70</v>
      </c>
      <c r="D90" s="106" t="s">
        <v>850</v>
      </c>
    </row>
    <row r="91" spans="3:5" ht="12.75">
      <c r="C91" s="188" t="s">
        <v>89</v>
      </c>
      <c r="D91" s="106" t="s">
        <v>854</v>
      </c>
      <c r="E91" s="105"/>
    </row>
    <row r="92" spans="3:5" ht="12.75">
      <c r="C92" s="106" t="s">
        <v>124</v>
      </c>
      <c r="D92" s="106" t="s">
        <v>846</v>
      </c>
      <c r="E92" s="136">
        <f>B6+B11+C46+C47</f>
        <v>12201.667599999999</v>
      </c>
    </row>
    <row r="93" spans="3:4" ht="12.75">
      <c r="C93" s="106" t="s">
        <v>1033</v>
      </c>
      <c r="D93" s="106" t="s">
        <v>1102</v>
      </c>
    </row>
    <row r="94" spans="3:4" ht="12.75">
      <c r="C94" s="106" t="s">
        <v>1062</v>
      </c>
      <c r="D94" s="106" t="s">
        <v>1103</v>
      </c>
    </row>
    <row r="95" spans="3:4" ht="12.75">
      <c r="C95" s="106" t="s">
        <v>1104</v>
      </c>
      <c r="D95" s="106" t="s">
        <v>1105</v>
      </c>
    </row>
    <row r="96" spans="4:5" ht="12.75">
      <c r="D96" s="200" t="s">
        <v>358</v>
      </c>
      <c r="E96" s="136">
        <f>SUM(E72:E95)</f>
        <v>39541.4892</v>
      </c>
    </row>
    <row r="97" spans="4:5" ht="12.75">
      <c r="D97" s="200" t="s">
        <v>1106</v>
      </c>
      <c r="E97" s="105">
        <f>B70-E96</f>
        <v>0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outlinePr summaryBelow="0"/>
  </sheetPr>
  <dimension ref="A2:G87"/>
  <sheetViews>
    <sheetView workbookViewId="0" topLeftCell="A49">
      <selection activeCell="I53" sqref="I5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1318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4551.44</v>
      </c>
    </row>
    <row r="7" spans="2:5" ht="12.75" outlineLevel="1">
      <c r="B7" s="105"/>
      <c r="C7" s="136">
        <v>2275.72</v>
      </c>
      <c r="D7" t="s">
        <v>1320</v>
      </c>
      <c r="E7" s="2" t="s">
        <v>124</v>
      </c>
    </row>
    <row r="8" spans="2:5" ht="12.75" outlineLevel="1">
      <c r="B8" s="105"/>
      <c r="C8" s="136">
        <v>2275.72</v>
      </c>
      <c r="D8" t="s">
        <v>1319</v>
      </c>
      <c r="E8" s="2" t="s">
        <v>124</v>
      </c>
    </row>
    <row r="9" spans="2:5" ht="12.75" outlineLevel="1">
      <c r="B9" s="105"/>
      <c r="C9" s="136">
        <f>SUM(C7:C8)</f>
        <v>4551.44</v>
      </c>
      <c r="D9" t="s">
        <v>358</v>
      </c>
      <c r="E9" s="2"/>
    </row>
    <row r="10" spans="1:5" ht="12.75">
      <c r="A10" t="s">
        <v>876</v>
      </c>
      <c r="B10" s="105">
        <f>C17</f>
        <v>1310.44</v>
      </c>
      <c r="E10" s="2"/>
    </row>
    <row r="11" spans="2:5" ht="12.75" outlineLevel="1">
      <c r="B11" s="105"/>
      <c r="C11" s="136">
        <v>215.07</v>
      </c>
      <c r="D11" t="s">
        <v>1323</v>
      </c>
      <c r="E11" s="2" t="s">
        <v>124</v>
      </c>
    </row>
    <row r="12" spans="2:5" ht="12.75" outlineLevel="1">
      <c r="B12" s="105"/>
      <c r="C12" s="136">
        <v>215.07</v>
      </c>
      <c r="D12" t="s">
        <v>1324</v>
      </c>
      <c r="E12" s="2" t="s">
        <v>124</v>
      </c>
    </row>
    <row r="13" spans="2:5" ht="12.75" outlineLevel="1">
      <c r="B13" s="105"/>
      <c r="C13" s="136">
        <v>402.42</v>
      </c>
      <c r="D13" t="s">
        <v>1325</v>
      </c>
      <c r="E13" s="2" t="s">
        <v>124</v>
      </c>
    </row>
    <row r="14" spans="2:5" ht="12.75" outlineLevel="1">
      <c r="B14" s="105"/>
      <c r="C14" s="136">
        <v>402.42</v>
      </c>
      <c r="D14" t="s">
        <v>1326</v>
      </c>
      <c r="E14" s="2" t="s">
        <v>124</v>
      </c>
    </row>
    <row r="15" spans="2:5" ht="12.75" outlineLevel="1">
      <c r="B15" s="105"/>
      <c r="C15" s="136">
        <v>37.73</v>
      </c>
      <c r="D15" t="s">
        <v>1327</v>
      </c>
      <c r="E15" s="2" t="s">
        <v>124</v>
      </c>
    </row>
    <row r="16" spans="2:5" ht="12.75" outlineLevel="1">
      <c r="B16" s="105"/>
      <c r="C16" s="136">
        <v>37.73</v>
      </c>
      <c r="D16" t="s">
        <v>1328</v>
      </c>
      <c r="E16" s="2" t="s">
        <v>124</v>
      </c>
    </row>
    <row r="17" spans="2:5" ht="12.75" outlineLevel="1">
      <c r="B17" s="105"/>
      <c r="C17" s="136">
        <f>SUM(C11:C16)</f>
        <v>1310.44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1321</v>
      </c>
      <c r="E19" s="2" t="s">
        <v>199</v>
      </c>
    </row>
    <row r="20" spans="2:5" ht="12.75" outlineLevel="1">
      <c r="B20" s="105"/>
      <c r="C20" s="136">
        <v>605.57</v>
      </c>
      <c r="D20" t="s">
        <v>1322</v>
      </c>
      <c r="E20" s="2" t="s">
        <v>199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2023</v>
      </c>
    </row>
    <row r="26" spans="2:7" ht="12.75" outlineLevel="1">
      <c r="B26" s="105"/>
      <c r="C26" s="136">
        <v>2023</v>
      </c>
      <c r="D26" t="s">
        <v>1329</v>
      </c>
      <c r="E26" s="2" t="s">
        <v>199</v>
      </c>
      <c r="F26" s="106"/>
      <c r="G26" s="188"/>
    </row>
    <row r="27" spans="1:2" ht="12.75">
      <c r="A27" t="s">
        <v>1134</v>
      </c>
      <c r="B27" s="105">
        <f>C30</f>
        <v>1927.63</v>
      </c>
    </row>
    <row r="28" spans="2:5" ht="12.75" outlineLevel="1">
      <c r="B28" s="105"/>
      <c r="C28" s="136">
        <v>1083.05</v>
      </c>
      <c r="D28" t="s">
        <v>1319</v>
      </c>
      <c r="E28" s="2" t="s">
        <v>370</v>
      </c>
    </row>
    <row r="29" spans="2:5" ht="12.75" outlineLevel="1">
      <c r="B29" s="105"/>
      <c r="C29" s="136">
        <v>844.58</v>
      </c>
      <c r="D29" t="s">
        <v>1330</v>
      </c>
      <c r="E29" s="2" t="s">
        <v>370</v>
      </c>
    </row>
    <row r="30" spans="2:4" ht="12.75" outlineLevel="1">
      <c r="B30" s="105"/>
      <c r="C30" s="136">
        <f>SUM(C28:C29)</f>
        <v>1927.63</v>
      </c>
      <c r="D30" t="s">
        <v>227</v>
      </c>
    </row>
    <row r="31" spans="1:6" s="68" customFormat="1" ht="12.75">
      <c r="A31" t="s">
        <v>504</v>
      </c>
      <c r="B31" s="156">
        <f>C32</f>
        <v>0</v>
      </c>
      <c r="C31" s="151"/>
      <c r="D31" s="2"/>
      <c r="F31" s="228"/>
    </row>
    <row r="32" spans="1:6" s="68" customFormat="1" ht="12.75" outlineLevel="1">
      <c r="A32"/>
      <c r="B32" s="154"/>
      <c r="C32" s="151">
        <v>0</v>
      </c>
      <c r="F32" s="228"/>
    </row>
    <row r="33" spans="1:5" ht="12.75">
      <c r="A33" t="s">
        <v>885</v>
      </c>
      <c r="B33" s="105">
        <f>C34</f>
        <v>1863.39</v>
      </c>
      <c r="E33" s="2"/>
    </row>
    <row r="34" spans="2:6" s="68" customFormat="1" ht="12.75" outlineLevel="1">
      <c r="B34" s="154"/>
      <c r="C34" s="136">
        <v>1863.39</v>
      </c>
      <c r="D34" t="s">
        <v>1423</v>
      </c>
      <c r="E34" s="188" t="s">
        <v>429</v>
      </c>
      <c r="F34" s="228"/>
    </row>
    <row r="35" spans="1:6" s="68" customFormat="1" ht="12.75">
      <c r="A35" s="2" t="s">
        <v>518</v>
      </c>
      <c r="B35" s="156">
        <f>C36</f>
        <v>0</v>
      </c>
      <c r="C35" s="136"/>
      <c r="D35"/>
      <c r="E35" s="106"/>
      <c r="F35" s="228"/>
    </row>
    <row r="36" spans="1:6" s="68" customFormat="1" ht="12.75" outlineLevel="1">
      <c r="A36" s="2"/>
      <c r="B36" s="156"/>
      <c r="C36" s="136">
        <v>0</v>
      </c>
      <c r="D36" t="s">
        <v>227</v>
      </c>
      <c r="E36" s="188" t="s">
        <v>227</v>
      </c>
      <c r="F36" s="228"/>
    </row>
    <row r="37" spans="1:5" ht="12.75">
      <c r="A37" t="s">
        <v>439</v>
      </c>
      <c r="B37" s="105">
        <f>SUM(B6:B36)</f>
        <v>12887.04</v>
      </c>
      <c r="E37" s="2"/>
    </row>
    <row r="38" spans="2:5" ht="12.75">
      <c r="B38" s="105"/>
      <c r="E38" s="2"/>
    </row>
    <row r="39" spans="1:5" ht="12.75">
      <c r="A39" t="s">
        <v>507</v>
      </c>
      <c r="B39" s="105">
        <f>C48</f>
        <v>5214.7392</v>
      </c>
      <c r="E39" s="2"/>
    </row>
    <row r="40" spans="2:5" ht="12.75" outlineLevel="1">
      <c r="B40" s="105"/>
      <c r="C40" s="136">
        <f>$B$4*B6</f>
        <v>2184.6911999999998</v>
      </c>
      <c r="D40" t="s">
        <v>591</v>
      </c>
      <c r="E40" s="2" t="s">
        <v>124</v>
      </c>
    </row>
    <row r="41" spans="2:5" ht="12.75" outlineLevel="1">
      <c r="B41" s="105"/>
      <c r="C41" s="136">
        <f>$B$4*B10</f>
        <v>629.0112</v>
      </c>
      <c r="D41" t="s">
        <v>500</v>
      </c>
      <c r="E41" s="2" t="s">
        <v>124</v>
      </c>
    </row>
    <row r="42" spans="2:5" ht="12.75" outlineLevel="1">
      <c r="B42" s="105"/>
      <c r="C42" s="136">
        <f>$B$4*B18</f>
        <v>581.3472</v>
      </c>
      <c r="D42" t="s">
        <v>499</v>
      </c>
      <c r="E42" s="2" t="s">
        <v>199</v>
      </c>
    </row>
    <row r="43" spans="2:5" ht="12.75" outlineLevel="1">
      <c r="B43" s="105"/>
      <c r="C43" s="136">
        <f>$B$4*B22</f>
        <v>0</v>
      </c>
      <c r="D43" t="s">
        <v>917</v>
      </c>
      <c r="E43" s="2"/>
    </row>
    <row r="44" spans="2:5" ht="12.75" outlineLevel="1">
      <c r="B44" s="105"/>
      <c r="C44" s="136">
        <f>$B$4*B33</f>
        <v>894.4272</v>
      </c>
      <c r="D44" t="s">
        <v>1142</v>
      </c>
      <c r="E44" s="2" t="s">
        <v>199</v>
      </c>
    </row>
    <row r="45" spans="2:5" ht="12.75" outlineLevel="1">
      <c r="B45" s="105"/>
      <c r="C45" s="136">
        <f>$B$4*B35</f>
        <v>0</v>
      </c>
      <c r="D45" s="2" t="s">
        <v>518</v>
      </c>
      <c r="E45" s="188"/>
    </row>
    <row r="46" spans="2:5" ht="12.75" outlineLevel="1">
      <c r="B46" s="105"/>
      <c r="C46" s="136">
        <f>$B$4*B27</f>
        <v>925.2624000000001</v>
      </c>
      <c r="D46" t="s">
        <v>1134</v>
      </c>
      <c r="E46" s="2" t="s">
        <v>370</v>
      </c>
    </row>
    <row r="47" spans="2:5" ht="12.75" outlineLevel="1">
      <c r="B47" s="105"/>
      <c r="C47" s="136">
        <f>$B$4*B31</f>
        <v>0</v>
      </c>
      <c r="D47" t="s">
        <v>504</v>
      </c>
      <c r="E47" s="2" t="s">
        <v>370</v>
      </c>
    </row>
    <row r="48" spans="2:4" ht="12.75" outlineLevel="1">
      <c r="B48" s="105"/>
      <c r="C48" s="136">
        <f>SUM(C40:C47)</f>
        <v>5214.7392</v>
      </c>
      <c r="D48" t="s">
        <v>237</v>
      </c>
    </row>
    <row r="49" spans="1:2" ht="12.75">
      <c r="A49" t="s">
        <v>509</v>
      </c>
      <c r="B49" s="105">
        <f>B37+B39</f>
        <v>18101.7792</v>
      </c>
    </row>
    <row r="50" ht="12.75">
      <c r="B50" s="105"/>
    </row>
    <row r="51" spans="1:2" ht="12.75">
      <c r="A51" t="s">
        <v>1206</v>
      </c>
      <c r="B51" s="105">
        <f>C52</f>
        <v>0</v>
      </c>
    </row>
    <row r="52" spans="2:5" ht="12.75" outlineLevel="1">
      <c r="B52" s="105"/>
      <c r="C52" s="136">
        <v>0</v>
      </c>
      <c r="E52" s="188"/>
    </row>
    <row r="53" spans="1:5" ht="12.75">
      <c r="A53" t="s">
        <v>594</v>
      </c>
      <c r="B53" s="105">
        <f>C57</f>
        <v>14571.23</v>
      </c>
      <c r="E53" s="2"/>
    </row>
    <row r="54" spans="2:5" ht="12.75" outlineLevel="1">
      <c r="B54" s="105"/>
      <c r="C54" s="136">
        <v>6857.2</v>
      </c>
      <c r="D54" t="s">
        <v>1331</v>
      </c>
      <c r="E54" s="188" t="s">
        <v>199</v>
      </c>
    </row>
    <row r="55" spans="2:5" ht="12.75" outlineLevel="1">
      <c r="B55" s="105"/>
      <c r="C55" s="136">
        <v>7712.21</v>
      </c>
      <c r="D55" t="s">
        <v>1332</v>
      </c>
      <c r="E55" s="188" t="s">
        <v>17</v>
      </c>
    </row>
    <row r="56" spans="2:5" ht="12.75" outlineLevel="1">
      <c r="B56" s="105"/>
      <c r="C56" s="136">
        <v>1.82</v>
      </c>
      <c r="D56" s="2" t="s">
        <v>1354</v>
      </c>
      <c r="E56" s="188" t="s">
        <v>196</v>
      </c>
    </row>
    <row r="57" spans="2:5" ht="12.75" outlineLevel="1">
      <c r="B57" s="105"/>
      <c r="C57" s="105">
        <f>SUM(C54:C56)</f>
        <v>14571.23</v>
      </c>
      <c r="E57" s="2"/>
    </row>
    <row r="58" spans="1:5" ht="12.75">
      <c r="A58" t="s">
        <v>368</v>
      </c>
      <c r="B58" s="105">
        <f>B53+B51</f>
        <v>14571.23</v>
      </c>
      <c r="C58" s="105"/>
      <c r="E58" s="2"/>
    </row>
    <row r="59" spans="2:5" ht="12.75">
      <c r="B59" s="105"/>
      <c r="C59" s="105"/>
      <c r="E59" s="2"/>
    </row>
    <row r="60" spans="1:2" ht="12.75">
      <c r="A60" t="s">
        <v>415</v>
      </c>
      <c r="B60" s="105">
        <f>B58+B49</f>
        <v>32673.0092</v>
      </c>
    </row>
    <row r="61" ht="12.75">
      <c r="B61" s="105"/>
    </row>
    <row r="62" spans="3:5" ht="12.75">
      <c r="C62" s="188" t="s">
        <v>429</v>
      </c>
      <c r="D62" s="188" t="s">
        <v>1024</v>
      </c>
      <c r="E62" s="136">
        <f>C34</f>
        <v>1863.39</v>
      </c>
    </row>
    <row r="63" spans="3:5" ht="12.75">
      <c r="C63" s="188" t="s">
        <v>370</v>
      </c>
      <c r="D63" s="188" t="s">
        <v>367</v>
      </c>
      <c r="E63" s="136">
        <f>B27+B31+C46+C47</f>
        <v>2852.8924</v>
      </c>
    </row>
    <row r="64" spans="3:4" ht="12.75">
      <c r="C64" s="188" t="s">
        <v>182</v>
      </c>
      <c r="D64" s="188" t="s">
        <v>855</v>
      </c>
    </row>
    <row r="65" spans="3:6" ht="12.75">
      <c r="C65" s="188" t="s">
        <v>187</v>
      </c>
      <c r="D65" s="189" t="s">
        <v>1779</v>
      </c>
      <c r="E65" s="199"/>
      <c r="F65" s="105"/>
    </row>
    <row r="66" spans="3:4" ht="12.75">
      <c r="C66" s="188" t="s">
        <v>189</v>
      </c>
      <c r="D66" s="106" t="s">
        <v>851</v>
      </c>
    </row>
    <row r="67" spans="3:4" ht="12.75">
      <c r="C67" s="106" t="s">
        <v>190</v>
      </c>
      <c r="D67" s="106" t="s">
        <v>852</v>
      </c>
    </row>
    <row r="68" spans="3:4" ht="12.75">
      <c r="C68" s="188" t="s">
        <v>192</v>
      </c>
      <c r="D68" s="200" t="s">
        <v>1025</v>
      </c>
    </row>
    <row r="69" spans="3:4" ht="12.75">
      <c r="C69" s="188" t="s">
        <v>193</v>
      </c>
      <c r="D69" s="200" t="s">
        <v>1026</v>
      </c>
    </row>
    <row r="70" spans="3:4" ht="12.75">
      <c r="C70" s="188" t="s">
        <v>195</v>
      </c>
      <c r="D70" s="200" t="s">
        <v>1029</v>
      </c>
    </row>
    <row r="71" spans="3:5" ht="12.75">
      <c r="C71" s="188" t="s">
        <v>196</v>
      </c>
      <c r="D71" s="200" t="s">
        <v>1030</v>
      </c>
      <c r="E71" s="136">
        <f>C56</f>
        <v>1.82</v>
      </c>
    </row>
    <row r="72" spans="3:4" ht="12.75">
      <c r="C72" s="188" t="s">
        <v>198</v>
      </c>
      <c r="D72" s="200" t="s">
        <v>1099</v>
      </c>
    </row>
    <row r="73" spans="3:5" ht="12.75">
      <c r="C73" s="188" t="s">
        <v>199</v>
      </c>
      <c r="D73" s="200" t="s">
        <v>1100</v>
      </c>
      <c r="E73" s="105">
        <f>B18+C42+C43+B22+C54+C26+C44</f>
        <v>11567.1144</v>
      </c>
    </row>
    <row r="74" spans="3:4" ht="12.75">
      <c r="C74" s="188" t="s">
        <v>200</v>
      </c>
      <c r="D74" s="200" t="s">
        <v>1101</v>
      </c>
    </row>
    <row r="75" spans="3:5" ht="12.75">
      <c r="C75" s="188" t="s">
        <v>17</v>
      </c>
      <c r="D75" s="200" t="s">
        <v>18</v>
      </c>
      <c r="E75" s="136">
        <f>C55</f>
        <v>7712.21</v>
      </c>
    </row>
    <row r="76" spans="3:7" ht="12.75">
      <c r="C76" s="106" t="s">
        <v>60</v>
      </c>
      <c r="D76" s="106" t="s">
        <v>847</v>
      </c>
      <c r="E76" s="199"/>
      <c r="F76" s="105">
        <v>2890</v>
      </c>
      <c r="G76" s="105">
        <f>F76-E76-E65</f>
        <v>2890</v>
      </c>
    </row>
    <row r="77" spans="3:4" ht="12.75">
      <c r="C77" s="106" t="s">
        <v>62</v>
      </c>
      <c r="D77" s="106" t="s">
        <v>848</v>
      </c>
    </row>
    <row r="78" spans="3:4" ht="12.75">
      <c r="C78" s="106" t="s">
        <v>64</v>
      </c>
      <c r="D78" s="106" t="s">
        <v>853</v>
      </c>
    </row>
    <row r="79" spans="3:4" ht="12.75">
      <c r="C79" s="188" t="s">
        <v>68</v>
      </c>
      <c r="D79" s="106" t="s">
        <v>849</v>
      </c>
    </row>
    <row r="80" spans="3:4" ht="12.75">
      <c r="C80" s="188" t="s">
        <v>70</v>
      </c>
      <c r="D80" s="106" t="s">
        <v>850</v>
      </c>
    </row>
    <row r="81" spans="3:5" ht="12.75">
      <c r="C81" s="188" t="s">
        <v>89</v>
      </c>
      <c r="D81" s="106" t="s">
        <v>854</v>
      </c>
      <c r="E81" s="105"/>
    </row>
    <row r="82" spans="3:5" ht="12.75">
      <c r="C82" s="106" t="s">
        <v>124</v>
      </c>
      <c r="D82" s="106" t="s">
        <v>846</v>
      </c>
      <c r="E82" s="136">
        <f>B6+B10+C40+C41</f>
        <v>8675.5824</v>
      </c>
    </row>
    <row r="83" spans="3:4" ht="12.75">
      <c r="C83" s="106" t="s">
        <v>1033</v>
      </c>
      <c r="D83" s="106" t="s">
        <v>1102</v>
      </c>
    </row>
    <row r="84" spans="3:4" ht="12.75">
      <c r="C84" s="106" t="s">
        <v>1062</v>
      </c>
      <c r="D84" s="106" t="s">
        <v>1103</v>
      </c>
    </row>
    <row r="85" spans="3:4" ht="12.75">
      <c r="C85" s="106" t="s">
        <v>1104</v>
      </c>
      <c r="D85" s="106" t="s">
        <v>1105</v>
      </c>
    </row>
    <row r="86" spans="4:5" ht="12.75">
      <c r="D86" s="200" t="s">
        <v>358</v>
      </c>
      <c r="E86" s="136">
        <f>SUM(E62:E85)</f>
        <v>32673.0092</v>
      </c>
    </row>
    <row r="87" spans="4:5" ht="12.75">
      <c r="D87" s="200" t="s">
        <v>1106</v>
      </c>
      <c r="E87" s="105">
        <f>B60-E86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outlinePr summaryBelow="0"/>
  </sheetPr>
  <dimension ref="A2:G89"/>
  <sheetViews>
    <sheetView workbookViewId="0" topLeftCell="A35">
      <selection activeCell="E65" sqref="E65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1333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4551.44</v>
      </c>
    </row>
    <row r="7" spans="2:5" ht="12.75" outlineLevel="1">
      <c r="B7" s="105"/>
      <c r="C7" s="136">
        <v>2275.72</v>
      </c>
      <c r="D7" t="s">
        <v>1334</v>
      </c>
      <c r="E7" s="2" t="s">
        <v>124</v>
      </c>
    </row>
    <row r="8" spans="2:5" ht="12.75" outlineLevel="1">
      <c r="B8" s="105"/>
      <c r="C8" s="136">
        <v>2275.72</v>
      </c>
      <c r="D8" t="s">
        <v>1335</v>
      </c>
      <c r="E8" s="2" t="s">
        <v>124</v>
      </c>
    </row>
    <row r="9" spans="2:5" ht="12.75" outlineLevel="1">
      <c r="B9" s="105"/>
      <c r="C9" s="136">
        <f>SUM(C7:C8)</f>
        <v>4551.44</v>
      </c>
      <c r="D9" t="s">
        <v>358</v>
      </c>
      <c r="E9" s="2"/>
    </row>
    <row r="10" spans="1:5" ht="12.75">
      <c r="A10" t="s">
        <v>876</v>
      </c>
      <c r="B10" s="105">
        <f>C17</f>
        <v>1310.44</v>
      </c>
      <c r="E10" s="2"/>
    </row>
    <row r="11" spans="2:5" ht="12.75" outlineLevel="1">
      <c r="B11" s="105"/>
      <c r="C11" s="136">
        <v>215.07</v>
      </c>
      <c r="D11" t="s">
        <v>1338</v>
      </c>
      <c r="E11" s="2" t="s">
        <v>124</v>
      </c>
    </row>
    <row r="12" spans="2:5" ht="12.75" outlineLevel="1">
      <c r="B12" s="105"/>
      <c r="C12" s="136">
        <v>215.07</v>
      </c>
      <c r="D12" t="s">
        <v>1339</v>
      </c>
      <c r="E12" s="2" t="s">
        <v>124</v>
      </c>
    </row>
    <row r="13" spans="2:5" ht="12.75" outlineLevel="1">
      <c r="B13" s="105"/>
      <c r="C13" s="136">
        <v>402.42</v>
      </c>
      <c r="D13" t="s">
        <v>1340</v>
      </c>
      <c r="E13" s="2" t="s">
        <v>124</v>
      </c>
    </row>
    <row r="14" spans="2:5" ht="12.75" outlineLevel="1">
      <c r="B14" s="105"/>
      <c r="C14" s="136">
        <v>402.42</v>
      </c>
      <c r="D14" t="s">
        <v>1341</v>
      </c>
      <c r="E14" s="2" t="s">
        <v>124</v>
      </c>
    </row>
    <row r="15" spans="2:5" ht="12.75" outlineLevel="1">
      <c r="B15" s="105"/>
      <c r="C15" s="136">
        <v>37.73</v>
      </c>
      <c r="D15" t="s">
        <v>1342</v>
      </c>
      <c r="E15" s="2" t="s">
        <v>124</v>
      </c>
    </row>
    <row r="16" spans="2:5" ht="12.75" outlineLevel="1">
      <c r="B16" s="105"/>
      <c r="C16" s="136">
        <v>37.73</v>
      </c>
      <c r="D16" t="s">
        <v>1343</v>
      </c>
      <c r="E16" s="2" t="s">
        <v>124</v>
      </c>
    </row>
    <row r="17" spans="2:5" ht="12.75" outlineLevel="1">
      <c r="B17" s="105"/>
      <c r="C17" s="136">
        <f>SUM(C11:C16)</f>
        <v>1310.44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1336</v>
      </c>
      <c r="E19" s="2" t="s">
        <v>199</v>
      </c>
    </row>
    <row r="20" spans="2:5" ht="12.75" outlineLevel="1">
      <c r="B20" s="105"/>
      <c r="C20" s="136">
        <v>605.57</v>
      </c>
      <c r="D20" t="s">
        <v>1337</v>
      </c>
      <c r="E20" s="2" t="s">
        <v>199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C28</f>
        <v>0</v>
      </c>
    </row>
    <row r="28" spans="2:4" ht="12.75" outlineLevel="1">
      <c r="B28" s="105"/>
      <c r="C28" s="136">
        <v>0</v>
      </c>
      <c r="D28" t="s">
        <v>227</v>
      </c>
    </row>
    <row r="29" spans="1:6" s="68" customFormat="1" ht="12.75">
      <c r="A29" t="s">
        <v>504</v>
      </c>
      <c r="B29" s="156">
        <f>C30</f>
        <v>0</v>
      </c>
      <c r="C29" s="151"/>
      <c r="D29" s="2"/>
      <c r="F29" s="228"/>
    </row>
    <row r="30" spans="1:6" s="68" customFormat="1" ht="12.75" outlineLevel="1">
      <c r="A30"/>
      <c r="B30" s="154"/>
      <c r="C30" s="151">
        <v>0</v>
      </c>
      <c r="F30" s="228"/>
    </row>
    <row r="31" spans="1:5" ht="12.75">
      <c r="A31" t="s">
        <v>1344</v>
      </c>
      <c r="B31" s="105">
        <f>C32</f>
        <v>2308.3</v>
      </c>
      <c r="E31" s="2"/>
    </row>
    <row r="32" spans="2:6" s="68" customFormat="1" ht="12.75" outlineLevel="1">
      <c r="B32" s="154"/>
      <c r="C32" s="136">
        <v>2308.3</v>
      </c>
      <c r="D32" t="s">
        <v>794</v>
      </c>
      <c r="E32" s="188" t="s">
        <v>429</v>
      </c>
      <c r="F32" s="228"/>
    </row>
    <row r="33" spans="1:5" ht="12.75">
      <c r="A33" t="s">
        <v>885</v>
      </c>
      <c r="B33" s="105">
        <f>C34</f>
        <v>1905.44</v>
      </c>
      <c r="E33" s="2"/>
    </row>
    <row r="34" spans="2:6" s="68" customFormat="1" ht="12.75" outlineLevel="1">
      <c r="B34" s="154"/>
      <c r="C34" s="136">
        <v>1905.44</v>
      </c>
      <c r="D34" t="s">
        <v>1423</v>
      </c>
      <c r="E34" s="106" t="s">
        <v>1062</v>
      </c>
      <c r="F34" s="228"/>
    </row>
    <row r="35" spans="1:6" s="68" customFormat="1" ht="12.75">
      <c r="A35" s="2" t="s">
        <v>518</v>
      </c>
      <c r="B35" s="156">
        <f>C36</f>
        <v>0</v>
      </c>
      <c r="C35" s="136"/>
      <c r="D35"/>
      <c r="E35" s="106"/>
      <c r="F35" s="228"/>
    </row>
    <row r="36" spans="1:6" s="68" customFormat="1" ht="12.75" outlineLevel="1">
      <c r="A36" s="2"/>
      <c r="B36" s="156"/>
      <c r="C36" s="136">
        <v>0</v>
      </c>
      <c r="D36" t="s">
        <v>227</v>
      </c>
      <c r="E36" s="188" t="s">
        <v>227</v>
      </c>
      <c r="F36" s="228"/>
    </row>
    <row r="37" spans="1:5" ht="12.75">
      <c r="A37" t="s">
        <v>439</v>
      </c>
      <c r="B37" s="105">
        <f>SUM(B6:B36)</f>
        <v>11286.76</v>
      </c>
      <c r="E37" s="2"/>
    </row>
    <row r="38" spans="2:5" ht="12.75">
      <c r="B38" s="105"/>
      <c r="E38" s="2"/>
    </row>
    <row r="39" spans="1:5" ht="12.75">
      <c r="A39" t="s">
        <v>507</v>
      </c>
      <c r="B39" s="105">
        <f>C49</f>
        <v>5417.6448</v>
      </c>
      <c r="E39" s="2"/>
    </row>
    <row r="40" spans="2:5" ht="12.75" outlineLevel="1">
      <c r="B40" s="105"/>
      <c r="C40" s="136">
        <f>$B$4*B6</f>
        <v>2184.6911999999998</v>
      </c>
      <c r="D40" t="s">
        <v>591</v>
      </c>
      <c r="E40" s="2" t="s">
        <v>124</v>
      </c>
    </row>
    <row r="41" spans="2:5" ht="12.75" outlineLevel="1">
      <c r="B41" s="105"/>
      <c r="C41" s="136">
        <f>$B$4*B10</f>
        <v>629.0112</v>
      </c>
      <c r="D41" t="s">
        <v>500</v>
      </c>
      <c r="E41" s="2" t="s">
        <v>124</v>
      </c>
    </row>
    <row r="42" spans="2:5" ht="12.75" outlineLevel="1">
      <c r="B42" s="105"/>
      <c r="C42" s="136">
        <f>$B$4*B18</f>
        <v>581.3472</v>
      </c>
      <c r="D42" t="s">
        <v>499</v>
      </c>
      <c r="E42" s="2" t="s">
        <v>199</v>
      </c>
    </row>
    <row r="43" spans="2:5" ht="12.75" outlineLevel="1">
      <c r="B43" s="105"/>
      <c r="C43" s="136">
        <f>$B$4*B22</f>
        <v>0</v>
      </c>
      <c r="D43" t="s">
        <v>917</v>
      </c>
      <c r="E43" s="2"/>
    </row>
    <row r="44" spans="2:5" ht="12.75" outlineLevel="1">
      <c r="B44" s="105"/>
      <c r="C44" s="136">
        <f>$B$4*B31</f>
        <v>1107.9840000000002</v>
      </c>
      <c r="D44" t="s">
        <v>1344</v>
      </c>
      <c r="E44" s="188" t="s">
        <v>429</v>
      </c>
    </row>
    <row r="45" spans="2:5" ht="12.75" outlineLevel="1">
      <c r="B45" s="105"/>
      <c r="C45" s="136">
        <f>$B$4*B33</f>
        <v>914.6111999999999</v>
      </c>
      <c r="D45" t="s">
        <v>885</v>
      </c>
      <c r="E45" s="106" t="s">
        <v>1062</v>
      </c>
    </row>
    <row r="46" spans="2:5" ht="12.75" outlineLevel="1">
      <c r="B46" s="105"/>
      <c r="C46" s="136">
        <f>$B$4*B35</f>
        <v>0</v>
      </c>
      <c r="D46" s="2" t="s">
        <v>518</v>
      </c>
      <c r="E46" s="188"/>
    </row>
    <row r="47" spans="2:5" ht="12.75" outlineLevel="1">
      <c r="B47" s="105"/>
      <c r="C47" s="136">
        <f>$B$4*B27</f>
        <v>0</v>
      </c>
      <c r="D47" t="s">
        <v>1134</v>
      </c>
      <c r="E47" s="2"/>
    </row>
    <row r="48" spans="2:5" ht="12.75" outlineLevel="1">
      <c r="B48" s="105"/>
      <c r="C48" s="136">
        <f>$B$4*B29</f>
        <v>0</v>
      </c>
      <c r="D48" t="s">
        <v>504</v>
      </c>
      <c r="E48" s="2"/>
    </row>
    <row r="49" spans="2:4" ht="12.75" outlineLevel="1">
      <c r="B49" s="105"/>
      <c r="C49" s="136">
        <f>SUM(C40:C48)</f>
        <v>5417.6448</v>
      </c>
      <c r="D49" t="s">
        <v>237</v>
      </c>
    </row>
    <row r="50" spans="1:2" ht="12.75">
      <c r="A50" t="s">
        <v>509</v>
      </c>
      <c r="B50" s="105">
        <f>B37+B39</f>
        <v>16704.4048</v>
      </c>
    </row>
    <row r="51" ht="12.75">
      <c r="B51" s="105"/>
    </row>
    <row r="52" spans="1:2" ht="12.75">
      <c r="A52" t="s">
        <v>1206</v>
      </c>
      <c r="B52" s="105">
        <f>C53</f>
        <v>0</v>
      </c>
    </row>
    <row r="53" spans="2:5" ht="12.75" outlineLevel="1">
      <c r="B53" s="105"/>
      <c r="C53" s="136">
        <v>0</v>
      </c>
      <c r="E53" s="188"/>
    </row>
    <row r="54" spans="1:5" ht="12.75">
      <c r="A54" t="s">
        <v>594</v>
      </c>
      <c r="B54" s="105">
        <f>C59</f>
        <v>13951.44</v>
      </c>
      <c r="E54" s="2"/>
    </row>
    <row r="55" spans="2:5" ht="12.75" outlineLevel="1">
      <c r="B55" s="105"/>
      <c r="C55" s="136">
        <v>6878.46</v>
      </c>
      <c r="D55" t="s">
        <v>1345</v>
      </c>
      <c r="E55" s="188" t="s">
        <v>199</v>
      </c>
    </row>
    <row r="56" spans="2:5" ht="12.75" outlineLevel="1">
      <c r="B56" s="105"/>
      <c r="C56" s="136">
        <v>6217.95</v>
      </c>
      <c r="D56" t="s">
        <v>1346</v>
      </c>
      <c r="E56" s="188" t="s">
        <v>199</v>
      </c>
    </row>
    <row r="57" spans="2:5" ht="12.75" outlineLevel="1">
      <c r="B57" s="105"/>
      <c r="C57" s="121">
        <f>115+11.6+96.15+487.68</f>
        <v>710.4300000000001</v>
      </c>
      <c r="D57" s="2" t="s">
        <v>1355</v>
      </c>
      <c r="E57" s="188" t="s">
        <v>196</v>
      </c>
    </row>
    <row r="58" spans="2:5" ht="12.75" outlineLevel="1">
      <c r="B58" s="105"/>
      <c r="C58" s="140">
        <v>144.6</v>
      </c>
      <c r="D58" s="271" t="s">
        <v>1356</v>
      </c>
      <c r="E58" s="188" t="s">
        <v>196</v>
      </c>
    </row>
    <row r="59" spans="2:5" ht="12.75" outlineLevel="1">
      <c r="B59" s="105"/>
      <c r="C59" s="105">
        <f>SUM(C55:C58)</f>
        <v>13951.44</v>
      </c>
      <c r="E59" s="2"/>
    </row>
    <row r="60" spans="1:5" ht="12.75">
      <c r="A60" t="s">
        <v>368</v>
      </c>
      <c r="B60" s="105">
        <f>B54+B52</f>
        <v>13951.44</v>
      </c>
      <c r="C60" s="105"/>
      <c r="E60" s="2"/>
    </row>
    <row r="61" spans="2:5" ht="12.75">
      <c r="B61" s="105"/>
      <c r="C61" s="105"/>
      <c r="E61" s="2"/>
    </row>
    <row r="62" spans="1:2" ht="12.75">
      <c r="A62" t="s">
        <v>415</v>
      </c>
      <c r="B62" s="105">
        <f>B60+B50</f>
        <v>30655.8448</v>
      </c>
    </row>
    <row r="63" ht="12.75">
      <c r="B63" s="105"/>
    </row>
    <row r="64" spans="3:5" ht="12.75">
      <c r="C64" s="188" t="s">
        <v>429</v>
      </c>
      <c r="D64" s="188" t="s">
        <v>1024</v>
      </c>
      <c r="E64" s="136">
        <f>C32+C44</f>
        <v>3416.2840000000006</v>
      </c>
    </row>
    <row r="65" spans="3:5" ht="12.75">
      <c r="C65" s="188" t="s">
        <v>370</v>
      </c>
      <c r="D65" s="188" t="s">
        <v>367</v>
      </c>
      <c r="E65" s="136">
        <f>B27+B29+C47+C48</f>
        <v>0</v>
      </c>
    </row>
    <row r="66" spans="3:4" ht="12.75">
      <c r="C66" s="188" t="s">
        <v>182</v>
      </c>
      <c r="D66" s="188" t="s">
        <v>855</v>
      </c>
    </row>
    <row r="67" spans="3:6" ht="12.75">
      <c r="C67" s="188" t="s">
        <v>187</v>
      </c>
      <c r="D67" s="189" t="s">
        <v>1779</v>
      </c>
      <c r="E67" s="199"/>
      <c r="F67" s="105"/>
    </row>
    <row r="68" spans="3:4" ht="12.75">
      <c r="C68" s="188" t="s">
        <v>189</v>
      </c>
      <c r="D68" s="106" t="s">
        <v>851</v>
      </c>
    </row>
    <row r="69" spans="3:4" ht="12.75">
      <c r="C69" s="106" t="s">
        <v>190</v>
      </c>
      <c r="D69" s="106" t="s">
        <v>852</v>
      </c>
    </row>
    <row r="70" spans="3:4" ht="12.75">
      <c r="C70" s="188" t="s">
        <v>192</v>
      </c>
      <c r="D70" s="200" t="s">
        <v>1025</v>
      </c>
    </row>
    <row r="71" spans="3:4" ht="12.75">
      <c r="C71" s="188" t="s">
        <v>193</v>
      </c>
      <c r="D71" s="200" t="s">
        <v>1026</v>
      </c>
    </row>
    <row r="72" spans="3:4" ht="12.75">
      <c r="C72" s="188" t="s">
        <v>195</v>
      </c>
      <c r="D72" s="200" t="s">
        <v>1029</v>
      </c>
    </row>
    <row r="73" spans="3:5" ht="12.75">
      <c r="C73" s="188" t="s">
        <v>196</v>
      </c>
      <c r="D73" s="200" t="s">
        <v>1030</v>
      </c>
      <c r="E73" s="136">
        <f>C57+C58</f>
        <v>855.0300000000001</v>
      </c>
    </row>
    <row r="74" spans="3:4" ht="12.75">
      <c r="C74" s="188" t="s">
        <v>198</v>
      </c>
      <c r="D74" s="200" t="s">
        <v>1099</v>
      </c>
    </row>
    <row r="75" spans="3:5" ht="12.75">
      <c r="C75" s="188" t="s">
        <v>199</v>
      </c>
      <c r="D75" s="200" t="s">
        <v>1100</v>
      </c>
      <c r="E75" s="105">
        <f>B18+C42+C43+B22+C55+C56</f>
        <v>14888.8972</v>
      </c>
    </row>
    <row r="76" spans="3:4" ht="12.75">
      <c r="C76" s="188" t="s">
        <v>200</v>
      </c>
      <c r="D76" s="200" t="s">
        <v>1101</v>
      </c>
    </row>
    <row r="77" spans="3:4" ht="12.75">
      <c r="C77" s="188" t="s">
        <v>17</v>
      </c>
      <c r="D77" s="200" t="s">
        <v>18</v>
      </c>
    </row>
    <row r="78" spans="3:7" ht="12.75">
      <c r="C78" s="106" t="s">
        <v>60</v>
      </c>
      <c r="D78" s="106" t="s">
        <v>847</v>
      </c>
      <c r="E78" s="199"/>
      <c r="F78" s="105">
        <v>2890</v>
      </c>
      <c r="G78" s="105">
        <f>F78-E78-E67</f>
        <v>2890</v>
      </c>
    </row>
    <row r="79" spans="3:4" ht="12.75">
      <c r="C79" s="106" t="s">
        <v>62</v>
      </c>
      <c r="D79" s="106" t="s">
        <v>848</v>
      </c>
    </row>
    <row r="80" spans="3:4" ht="12.75">
      <c r="C80" s="106" t="s">
        <v>64</v>
      </c>
      <c r="D80" s="106" t="s">
        <v>853</v>
      </c>
    </row>
    <row r="81" spans="3:4" ht="12.75">
      <c r="C81" s="188" t="s">
        <v>68</v>
      </c>
      <c r="D81" s="106" t="s">
        <v>849</v>
      </c>
    </row>
    <row r="82" spans="3:4" ht="12.75">
      <c r="C82" s="188" t="s">
        <v>70</v>
      </c>
      <c r="D82" s="106" t="s">
        <v>850</v>
      </c>
    </row>
    <row r="83" spans="3:5" ht="12.75">
      <c r="C83" s="188" t="s">
        <v>89</v>
      </c>
      <c r="D83" s="106" t="s">
        <v>854</v>
      </c>
      <c r="E83" s="105"/>
    </row>
    <row r="84" spans="3:5" ht="12.75">
      <c r="C84" s="106" t="s">
        <v>124</v>
      </c>
      <c r="D84" s="106" t="s">
        <v>846</v>
      </c>
      <c r="E84" s="136">
        <f>B6+B10+C40+C41</f>
        <v>8675.5824</v>
      </c>
    </row>
    <row r="85" spans="3:4" ht="12.75">
      <c r="C85" s="106" t="s">
        <v>1033</v>
      </c>
      <c r="D85" s="106" t="s">
        <v>1102</v>
      </c>
    </row>
    <row r="86" spans="3:5" ht="12.75">
      <c r="C86" s="106" t="s">
        <v>1062</v>
      </c>
      <c r="D86" s="106" t="s">
        <v>1103</v>
      </c>
      <c r="E86" s="105">
        <f>B33+C45</f>
        <v>2820.0512</v>
      </c>
    </row>
    <row r="87" spans="3:4" ht="12.75">
      <c r="C87" s="106" t="s">
        <v>1104</v>
      </c>
      <c r="D87" s="106" t="s">
        <v>1105</v>
      </c>
    </row>
    <row r="88" spans="4:5" ht="12.75">
      <c r="D88" s="200" t="s">
        <v>358</v>
      </c>
      <c r="E88" s="136">
        <f>SUM(E64:E87)</f>
        <v>30655.8448</v>
      </c>
    </row>
    <row r="89" spans="4:5" ht="12.75">
      <c r="D89" s="200" t="s">
        <v>1106</v>
      </c>
      <c r="E89" s="105">
        <f>B62-E88</f>
        <v>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outlinePr summaryBelow="0"/>
    <pageSetUpPr fitToPage="1"/>
  </sheetPr>
  <dimension ref="A2:G92"/>
  <sheetViews>
    <sheetView workbookViewId="0" topLeftCell="A51">
      <selection activeCell="A84" sqref="A84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1387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4551.44</v>
      </c>
    </row>
    <row r="7" spans="2:5" ht="12.75" outlineLevel="1">
      <c r="B7" s="105"/>
      <c r="C7" s="136">
        <v>2275.72</v>
      </c>
      <c r="D7" t="s">
        <v>1388</v>
      </c>
      <c r="E7" s="2" t="s">
        <v>124</v>
      </c>
    </row>
    <row r="8" spans="2:5" ht="12.75" outlineLevel="1">
      <c r="B8" s="105"/>
      <c r="C8" s="136">
        <v>2275.72</v>
      </c>
      <c r="D8" t="s">
        <v>1389</v>
      </c>
      <c r="E8" s="2" t="s">
        <v>124</v>
      </c>
    </row>
    <row r="9" spans="2:5" ht="12.75" outlineLevel="1">
      <c r="B9" s="105"/>
      <c r="C9" s="136">
        <f>SUM(C7:C8)</f>
        <v>4551.44</v>
      </c>
      <c r="D9" t="s">
        <v>358</v>
      </c>
      <c r="E9" s="2"/>
    </row>
    <row r="10" spans="1:5" ht="12.75">
      <c r="A10" t="s">
        <v>876</v>
      </c>
      <c r="B10" s="105">
        <f>C17</f>
        <v>1310.44</v>
      </c>
      <c r="E10" s="2"/>
    </row>
    <row r="11" spans="2:5" ht="12.75" outlineLevel="1">
      <c r="B11" s="105"/>
      <c r="C11" s="136">
        <v>215.07</v>
      </c>
      <c r="D11" t="s">
        <v>1392</v>
      </c>
      <c r="E11" s="2" t="s">
        <v>124</v>
      </c>
    </row>
    <row r="12" spans="2:5" ht="12.75" outlineLevel="1">
      <c r="B12" s="105"/>
      <c r="C12" s="136">
        <v>215.07</v>
      </c>
      <c r="D12" t="s">
        <v>1393</v>
      </c>
      <c r="E12" s="2" t="s">
        <v>124</v>
      </c>
    </row>
    <row r="13" spans="2:5" ht="12.75" outlineLevel="1">
      <c r="B13" s="105"/>
      <c r="C13" s="136">
        <v>402.42</v>
      </c>
      <c r="D13" t="s">
        <v>1394</v>
      </c>
      <c r="E13" s="2" t="s">
        <v>124</v>
      </c>
    </row>
    <row r="14" spans="2:5" ht="12.75" outlineLevel="1">
      <c r="B14" s="105"/>
      <c r="C14" s="136">
        <v>402.42</v>
      </c>
      <c r="D14" t="s">
        <v>1395</v>
      </c>
      <c r="E14" s="2" t="s">
        <v>124</v>
      </c>
    </row>
    <row r="15" spans="2:5" ht="12.75" outlineLevel="1">
      <c r="B15" s="105"/>
      <c r="C15" s="136">
        <v>37.73</v>
      </c>
      <c r="D15" t="s">
        <v>1396</v>
      </c>
      <c r="E15" s="2" t="s">
        <v>124</v>
      </c>
    </row>
    <row r="16" spans="2:5" ht="12.75" outlineLevel="1">
      <c r="B16" s="105"/>
      <c r="C16" s="136">
        <v>37.73</v>
      </c>
      <c r="D16" t="s">
        <v>1397</v>
      </c>
      <c r="E16" s="2" t="s">
        <v>124</v>
      </c>
    </row>
    <row r="17" spans="2:5" ht="12.75" outlineLevel="1">
      <c r="B17" s="105"/>
      <c r="C17" s="136">
        <f>SUM(C11:C16)</f>
        <v>1310.44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1390</v>
      </c>
      <c r="E19" s="2" t="s">
        <v>199</v>
      </c>
    </row>
    <row r="20" spans="2:5" ht="12.75" outlineLevel="1">
      <c r="B20" s="105"/>
      <c r="C20" s="136">
        <v>605.57</v>
      </c>
      <c r="D20" t="s">
        <v>1391</v>
      </c>
      <c r="E20" s="2" t="s">
        <v>199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C28</f>
        <v>188.55</v>
      </c>
    </row>
    <row r="28" spans="2:4" ht="12.75" outlineLevel="1">
      <c r="B28" s="105"/>
      <c r="C28" s="136">
        <v>188.55</v>
      </c>
      <c r="D28" t="s">
        <v>227</v>
      </c>
    </row>
    <row r="29" spans="1:6" s="68" customFormat="1" ht="12.75">
      <c r="A29" t="s">
        <v>504</v>
      </c>
      <c r="B29" s="156">
        <f>C30</f>
        <v>0</v>
      </c>
      <c r="C29" s="151"/>
      <c r="D29" s="2"/>
      <c r="F29" s="228"/>
    </row>
    <row r="30" spans="1:6" s="68" customFormat="1" ht="12.75" outlineLevel="1">
      <c r="A30"/>
      <c r="B30" s="154"/>
      <c r="C30" s="151">
        <v>0</v>
      </c>
      <c r="F30" s="228"/>
    </row>
    <row r="31" spans="1:5" ht="12.75">
      <c r="A31" t="s">
        <v>1344</v>
      </c>
      <c r="B31" s="105">
        <f>C32</f>
        <v>0</v>
      </c>
      <c r="E31" s="2"/>
    </row>
    <row r="32" spans="2:6" s="68" customFormat="1" ht="12.75" outlineLevel="1">
      <c r="B32" s="154"/>
      <c r="C32" s="136">
        <v>0</v>
      </c>
      <c r="D32" t="s">
        <v>794</v>
      </c>
      <c r="E32" s="188"/>
      <c r="F32" s="228"/>
    </row>
    <row r="33" spans="1:5" ht="12.75">
      <c r="A33" t="s">
        <v>885</v>
      </c>
      <c r="B33" s="105">
        <f>C34</f>
        <v>1967.67</v>
      </c>
      <c r="E33" s="2"/>
    </row>
    <row r="34" spans="2:6" s="68" customFormat="1" ht="12.75" outlineLevel="1">
      <c r="B34" s="154"/>
      <c r="C34" s="136">
        <v>1967.67</v>
      </c>
      <c r="D34" t="s">
        <v>1423</v>
      </c>
      <c r="E34" s="2" t="s">
        <v>1062</v>
      </c>
      <c r="F34" s="228"/>
    </row>
    <row r="35" spans="1:6" s="68" customFormat="1" ht="12.75">
      <c r="A35" s="2" t="s">
        <v>518</v>
      </c>
      <c r="B35" s="156">
        <f>C36</f>
        <v>0</v>
      </c>
      <c r="C35" s="136"/>
      <c r="D35"/>
      <c r="E35" s="106"/>
      <c r="F35" s="228"/>
    </row>
    <row r="36" spans="1:6" s="68" customFormat="1" ht="12.75" outlineLevel="1">
      <c r="A36" s="2"/>
      <c r="B36" s="156"/>
      <c r="C36" s="136">
        <v>0</v>
      </c>
      <c r="D36" t="s">
        <v>227</v>
      </c>
      <c r="E36" s="188" t="s">
        <v>227</v>
      </c>
      <c r="F36" s="228"/>
    </row>
    <row r="37" spans="1:5" ht="12.75">
      <c r="A37" t="s">
        <v>439</v>
      </c>
      <c r="B37" s="105">
        <f>SUM(B6:B36)</f>
        <v>9229.24</v>
      </c>
      <c r="E37" s="2"/>
    </row>
    <row r="38" spans="2:5" ht="12.75">
      <c r="B38" s="105"/>
      <c r="E38" s="2"/>
    </row>
    <row r="39" spans="1:5" ht="12.75">
      <c r="A39" t="s">
        <v>507</v>
      </c>
      <c r="B39" s="105">
        <f>C49</f>
        <v>4430.035199999999</v>
      </c>
      <c r="E39" s="2"/>
    </row>
    <row r="40" spans="2:5" ht="12.75" outlineLevel="1">
      <c r="B40" s="105"/>
      <c r="C40" s="136">
        <f>$B$4*B6</f>
        <v>2184.6911999999998</v>
      </c>
      <c r="D40" t="s">
        <v>591</v>
      </c>
      <c r="E40" s="2" t="s">
        <v>124</v>
      </c>
    </row>
    <row r="41" spans="2:5" ht="12.75" outlineLevel="1">
      <c r="B41" s="105"/>
      <c r="C41" s="136">
        <f>$B$4*B10</f>
        <v>629.0112</v>
      </c>
      <c r="D41" t="s">
        <v>500</v>
      </c>
      <c r="E41" s="2" t="s">
        <v>124</v>
      </c>
    </row>
    <row r="42" spans="2:5" ht="12.75" outlineLevel="1">
      <c r="B42" s="105"/>
      <c r="C42" s="136">
        <f>$B$4*B18</f>
        <v>581.3472</v>
      </c>
      <c r="D42" t="s">
        <v>499</v>
      </c>
      <c r="E42" s="2" t="s">
        <v>199</v>
      </c>
    </row>
    <row r="43" spans="2:5" ht="12.75" outlineLevel="1">
      <c r="B43" s="105"/>
      <c r="C43" s="136">
        <f>$B$4*B22</f>
        <v>0</v>
      </c>
      <c r="D43" t="s">
        <v>917</v>
      </c>
      <c r="E43" s="2"/>
    </row>
    <row r="44" spans="2:5" ht="12.75" outlineLevel="1">
      <c r="B44" s="105"/>
      <c r="C44" s="136">
        <f>$B$4*B31</f>
        <v>0</v>
      </c>
      <c r="D44" t="s">
        <v>1344</v>
      </c>
      <c r="E44" s="2"/>
    </row>
    <row r="45" spans="2:5" ht="12.75" outlineLevel="1">
      <c r="B45" s="105"/>
      <c r="C45" s="136">
        <f>$B$4*B33</f>
        <v>944.4816</v>
      </c>
      <c r="D45" t="s">
        <v>885</v>
      </c>
      <c r="E45" s="106" t="s">
        <v>1062</v>
      </c>
    </row>
    <row r="46" spans="2:5" ht="12.75" outlineLevel="1">
      <c r="B46" s="105"/>
      <c r="C46" s="136">
        <f>$B$4*B35</f>
        <v>0</v>
      </c>
      <c r="D46" s="2" t="s">
        <v>518</v>
      </c>
      <c r="E46" s="188"/>
    </row>
    <row r="47" spans="2:5" ht="12.75" outlineLevel="1">
      <c r="B47" s="105"/>
      <c r="C47" s="136">
        <f>$B$4*B27</f>
        <v>90.504</v>
      </c>
      <c r="D47" t="s">
        <v>1134</v>
      </c>
      <c r="E47" s="2" t="s">
        <v>370</v>
      </c>
    </row>
    <row r="48" spans="2:5" ht="12.75" outlineLevel="1">
      <c r="B48" s="105"/>
      <c r="C48" s="136">
        <f>$B$4*B29</f>
        <v>0</v>
      </c>
      <c r="D48" t="s">
        <v>504</v>
      </c>
      <c r="E48" s="2" t="s">
        <v>370</v>
      </c>
    </row>
    <row r="49" spans="2:4" ht="12.75" outlineLevel="1">
      <c r="B49" s="105"/>
      <c r="C49" s="136">
        <f>SUM(C40:C48)</f>
        <v>4430.035199999999</v>
      </c>
      <c r="D49" t="s">
        <v>237</v>
      </c>
    </row>
    <row r="50" spans="1:2" ht="12.75">
      <c r="A50" t="s">
        <v>509</v>
      </c>
      <c r="B50" s="105">
        <f>B37+B39</f>
        <v>13659.2752</v>
      </c>
    </row>
    <row r="51" ht="12.75">
      <c r="B51" s="105"/>
    </row>
    <row r="52" spans="1:2" ht="12.75">
      <c r="A52" t="s">
        <v>1206</v>
      </c>
      <c r="B52" s="105">
        <f>C53</f>
        <v>0</v>
      </c>
    </row>
    <row r="53" spans="2:5" ht="12.75" outlineLevel="1">
      <c r="B53" s="105"/>
      <c r="C53" s="136">
        <v>0</v>
      </c>
      <c r="E53" s="188"/>
    </row>
    <row r="54" spans="1:5" ht="12.75">
      <c r="A54" t="s">
        <v>594</v>
      </c>
      <c r="B54" s="105">
        <f>C60</f>
        <v>14039.2</v>
      </c>
      <c r="E54" s="2"/>
    </row>
    <row r="55" spans="2:5" ht="12.75" outlineLevel="1">
      <c r="B55" s="105"/>
      <c r="C55" s="136">
        <v>4184.14</v>
      </c>
      <c r="D55" t="s">
        <v>1398</v>
      </c>
      <c r="E55" s="188" t="s">
        <v>199</v>
      </c>
    </row>
    <row r="56" spans="2:5" ht="12.75" outlineLevel="1">
      <c r="B56" s="105"/>
      <c r="C56" s="136">
        <v>6421.71</v>
      </c>
      <c r="D56" t="s">
        <v>1399</v>
      </c>
      <c r="E56" s="188" t="s">
        <v>199</v>
      </c>
    </row>
    <row r="57" spans="2:5" ht="12.75" outlineLevel="1">
      <c r="B57" s="143"/>
      <c r="C57" s="269">
        <f>1100+415+375</f>
        <v>1890</v>
      </c>
      <c r="D57" t="s">
        <v>1401</v>
      </c>
      <c r="E57" s="2" t="s">
        <v>1429</v>
      </c>
    </row>
    <row r="58" spans="2:5" ht="12.75" outlineLevel="1">
      <c r="B58" s="143"/>
      <c r="C58" s="269">
        <f>65.95+125.95+145.95+299.9+59.95+121.95+179.9+33.95+26.95+79.95</f>
        <v>1140.4</v>
      </c>
      <c r="D58" s="2" t="s">
        <v>1403</v>
      </c>
      <c r="E58" s="188" t="s">
        <v>196</v>
      </c>
    </row>
    <row r="59" spans="2:5" ht="12.75" outlineLevel="1">
      <c r="B59" s="105"/>
      <c r="C59" s="140">
        <v>402.95</v>
      </c>
      <c r="D59" s="271" t="s">
        <v>1404</v>
      </c>
      <c r="E59" s="188" t="s">
        <v>196</v>
      </c>
    </row>
    <row r="60" spans="1:5" ht="12.75">
      <c r="A60" t="s">
        <v>368</v>
      </c>
      <c r="B60" s="105">
        <f>B54+B52</f>
        <v>14039.2</v>
      </c>
      <c r="C60" s="105">
        <f>SUM(C55:C59)</f>
        <v>14039.2</v>
      </c>
      <c r="E60" s="2"/>
    </row>
    <row r="61" spans="2:5" ht="12.75">
      <c r="B61" s="105"/>
      <c r="C61" s="105"/>
      <c r="E61" s="2"/>
    </row>
    <row r="62" spans="1:5" ht="12.75">
      <c r="A62" t="s">
        <v>415</v>
      </c>
      <c r="B62" s="105">
        <f>B60+B50</f>
        <v>27698.4752</v>
      </c>
      <c r="C62" s="105"/>
      <c r="E62" s="2"/>
    </row>
    <row r="63" ht="12.75">
      <c r="B63" s="105"/>
    </row>
    <row r="65" spans="3:5" ht="12.75">
      <c r="C65" s="188" t="s">
        <v>429</v>
      </c>
      <c r="D65" s="188" t="s">
        <v>1024</v>
      </c>
      <c r="E65" s="136">
        <f>C58</f>
        <v>1140.4</v>
      </c>
    </row>
    <row r="66" spans="3:5" ht="12.75">
      <c r="C66" s="188" t="s">
        <v>370</v>
      </c>
      <c r="D66" s="188" t="s">
        <v>367</v>
      </c>
      <c r="E66" s="136">
        <f>B27+B29+C47+C48</f>
        <v>279.05400000000003</v>
      </c>
    </row>
    <row r="67" spans="3:5" ht="12.75">
      <c r="C67" s="2" t="s">
        <v>1428</v>
      </c>
      <c r="D67" s="2" t="s">
        <v>1431</v>
      </c>
      <c r="E67" s="136"/>
    </row>
    <row r="68" spans="3:5" ht="12.75">
      <c r="C68" s="2" t="s">
        <v>1429</v>
      </c>
      <c r="D68" s="2" t="s">
        <v>1430</v>
      </c>
      <c r="E68" s="136">
        <f>C57</f>
        <v>1890</v>
      </c>
    </row>
    <row r="69" spans="3:6" ht="12.75">
      <c r="C69" s="188" t="s">
        <v>182</v>
      </c>
      <c r="D69" s="188" t="s">
        <v>855</v>
      </c>
      <c r="F69" s="105"/>
    </row>
    <row r="70" spans="3:5" ht="12.75">
      <c r="C70" s="188" t="s">
        <v>187</v>
      </c>
      <c r="D70" s="189" t="s">
        <v>1779</v>
      </c>
      <c r="E70" s="199"/>
    </row>
    <row r="71" spans="3:4" ht="12.75">
      <c r="C71" s="188" t="s">
        <v>189</v>
      </c>
      <c r="D71" s="106" t="s">
        <v>851</v>
      </c>
    </row>
    <row r="72" spans="3:4" ht="12.75">
      <c r="C72" s="106" t="s">
        <v>190</v>
      </c>
      <c r="D72" s="106" t="s">
        <v>852</v>
      </c>
    </row>
    <row r="73" spans="3:4" ht="12.75">
      <c r="C73" s="188" t="s">
        <v>192</v>
      </c>
      <c r="D73" s="200" t="s">
        <v>1025</v>
      </c>
    </row>
    <row r="74" spans="3:4" ht="12.75">
      <c r="C74" s="188" t="s">
        <v>193</v>
      </c>
      <c r="D74" s="200" t="s">
        <v>1026</v>
      </c>
    </row>
    <row r="75" spans="3:4" ht="12.75">
      <c r="C75" s="188" t="s">
        <v>195</v>
      </c>
      <c r="D75" s="200" t="s">
        <v>1029</v>
      </c>
    </row>
    <row r="76" spans="3:5" ht="12.75">
      <c r="C76" s="188" t="s">
        <v>196</v>
      </c>
      <c r="D76" s="200" t="s">
        <v>1030</v>
      </c>
      <c r="E76" s="136">
        <f>C59</f>
        <v>402.95</v>
      </c>
    </row>
    <row r="77" spans="3:5" ht="12.75">
      <c r="C77" s="188" t="s">
        <v>198</v>
      </c>
      <c r="D77" s="200" t="s">
        <v>1099</v>
      </c>
      <c r="E77" s="105"/>
    </row>
    <row r="78" spans="3:5" ht="12.75">
      <c r="C78" s="188" t="s">
        <v>199</v>
      </c>
      <c r="D78" s="200" t="s">
        <v>1100</v>
      </c>
      <c r="E78" s="105">
        <f>B18+C42+C43+B22+C55+C56</f>
        <v>12398.337200000002</v>
      </c>
    </row>
    <row r="79" spans="3:4" ht="12.75">
      <c r="C79" s="188" t="s">
        <v>200</v>
      </c>
      <c r="D79" s="200" t="s">
        <v>1101</v>
      </c>
    </row>
    <row r="80" spans="3:7" ht="12.75">
      <c r="C80" s="188" t="s">
        <v>17</v>
      </c>
      <c r="D80" s="200" t="s">
        <v>18</v>
      </c>
      <c r="F80" s="105"/>
      <c r="G80" s="105"/>
    </row>
    <row r="81" spans="3:5" ht="12.75">
      <c r="C81" s="106" t="s">
        <v>60</v>
      </c>
      <c r="D81" s="106" t="s">
        <v>847</v>
      </c>
      <c r="E81" s="199"/>
    </row>
    <row r="82" spans="3:4" ht="12.75">
      <c r="C82" s="106" t="s">
        <v>62</v>
      </c>
      <c r="D82" s="106" t="s">
        <v>848</v>
      </c>
    </row>
    <row r="83" spans="3:4" ht="12.75">
      <c r="C83" s="106" t="s">
        <v>64</v>
      </c>
      <c r="D83" s="106" t="s">
        <v>853</v>
      </c>
    </row>
    <row r="84" spans="3:4" ht="12.75">
      <c r="C84" s="188" t="s">
        <v>68</v>
      </c>
      <c r="D84" s="106" t="s">
        <v>849</v>
      </c>
    </row>
    <row r="85" spans="3:4" ht="12.75">
      <c r="C85" s="188" t="s">
        <v>70</v>
      </c>
      <c r="D85" s="106" t="s">
        <v>850</v>
      </c>
    </row>
    <row r="86" spans="3:5" ht="12.75">
      <c r="C86" s="188" t="s">
        <v>89</v>
      </c>
      <c r="D86" s="106" t="s">
        <v>854</v>
      </c>
      <c r="E86" s="105"/>
    </row>
    <row r="87" spans="3:5" ht="12.75">
      <c r="C87" s="106" t="s">
        <v>124</v>
      </c>
      <c r="D87" s="106" t="s">
        <v>846</v>
      </c>
      <c r="E87" s="136">
        <f>B6+B10+C40+C41</f>
        <v>8675.5824</v>
      </c>
    </row>
    <row r="88" spans="3:4" ht="12.75">
      <c r="C88" s="106" t="s">
        <v>1033</v>
      </c>
      <c r="D88" s="106" t="s">
        <v>1102</v>
      </c>
    </row>
    <row r="89" spans="3:5" ht="12.75">
      <c r="C89" s="106" t="s">
        <v>1062</v>
      </c>
      <c r="D89" s="106" t="s">
        <v>1103</v>
      </c>
      <c r="E89" s="136">
        <f>C34+C45</f>
        <v>2912.1516</v>
      </c>
    </row>
    <row r="90" spans="3:4" ht="12.75">
      <c r="C90" s="106" t="s">
        <v>1104</v>
      </c>
      <c r="D90" s="106" t="s">
        <v>1105</v>
      </c>
    </row>
    <row r="91" spans="4:5" ht="12.75">
      <c r="D91" s="200" t="s">
        <v>358</v>
      </c>
      <c r="E91" s="136">
        <f>SUM(E65:E90)</f>
        <v>27698.475200000004</v>
      </c>
    </row>
    <row r="92" spans="4:5" ht="12.75">
      <c r="D92" s="200" t="s">
        <v>1106</v>
      </c>
      <c r="E92" s="105">
        <f>B62-E91</f>
        <v>0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outlinePr summaryBelow="0"/>
    <pageSetUpPr fitToPage="1"/>
  </sheetPr>
  <dimension ref="A2:G92"/>
  <sheetViews>
    <sheetView workbookViewId="0" topLeftCell="A48">
      <selection activeCell="E77" sqref="E7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1419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4551.44</v>
      </c>
    </row>
    <row r="7" spans="2:5" ht="12.75" outlineLevel="1">
      <c r="B7" s="105"/>
      <c r="C7" s="136">
        <v>2275.72</v>
      </c>
      <c r="D7" t="s">
        <v>1405</v>
      </c>
      <c r="E7" s="2" t="s">
        <v>124</v>
      </c>
    </row>
    <row r="8" spans="2:5" ht="12.75" outlineLevel="1">
      <c r="B8" s="105"/>
      <c r="C8" s="136">
        <v>2275.72</v>
      </c>
      <c r="D8" t="s">
        <v>1406</v>
      </c>
      <c r="E8" s="2" t="s">
        <v>124</v>
      </c>
    </row>
    <row r="9" spans="2:5" ht="12.75" outlineLevel="1">
      <c r="B9" s="105"/>
      <c r="C9" s="136">
        <f>SUM(C7:C8)</f>
        <v>4551.44</v>
      </c>
      <c r="D9" t="s">
        <v>358</v>
      </c>
      <c r="E9" s="2"/>
    </row>
    <row r="10" spans="1:5" ht="12.75">
      <c r="A10" t="s">
        <v>876</v>
      </c>
      <c r="B10" s="105">
        <f>C17</f>
        <v>1310.44</v>
      </c>
      <c r="E10" s="2"/>
    </row>
    <row r="11" spans="2:5" ht="12.75" outlineLevel="1">
      <c r="B11" s="105"/>
      <c r="C11" s="136">
        <v>215.07</v>
      </c>
      <c r="D11" t="s">
        <v>1407</v>
      </c>
      <c r="E11" s="2" t="s">
        <v>124</v>
      </c>
    </row>
    <row r="12" spans="2:5" ht="12.75" outlineLevel="1">
      <c r="B12" s="105"/>
      <c r="C12" s="136">
        <v>215.07</v>
      </c>
      <c r="D12" t="s">
        <v>1408</v>
      </c>
      <c r="E12" s="2" t="s">
        <v>124</v>
      </c>
    </row>
    <row r="13" spans="2:5" ht="12.75" outlineLevel="1">
      <c r="B13" s="105"/>
      <c r="C13" s="136">
        <v>402.42</v>
      </c>
      <c r="D13" t="s">
        <v>1409</v>
      </c>
      <c r="E13" s="2" t="s">
        <v>124</v>
      </c>
    </row>
    <row r="14" spans="2:5" ht="12.75" outlineLevel="1">
      <c r="B14" s="105"/>
      <c r="C14" s="136">
        <v>402.42</v>
      </c>
      <c r="D14" t="s">
        <v>1410</v>
      </c>
      <c r="E14" s="2" t="s">
        <v>124</v>
      </c>
    </row>
    <row r="15" spans="2:5" ht="12.75" outlineLevel="1">
      <c r="B15" s="105"/>
      <c r="C15" s="136">
        <v>37.73</v>
      </c>
      <c r="D15" t="s">
        <v>1411</v>
      </c>
      <c r="E15" s="2" t="s">
        <v>124</v>
      </c>
    </row>
    <row r="16" spans="2:5" ht="12.75" outlineLevel="1">
      <c r="B16" s="105"/>
      <c r="C16" s="136">
        <v>37.73</v>
      </c>
      <c r="D16" t="s">
        <v>1412</v>
      </c>
      <c r="E16" s="2" t="s">
        <v>124</v>
      </c>
    </row>
    <row r="17" spans="2:5" ht="12.75" outlineLevel="1">
      <c r="B17" s="105"/>
      <c r="C17" s="136">
        <f>SUM(C11:C16)</f>
        <v>1310.44</v>
      </c>
      <c r="D17" t="s">
        <v>358</v>
      </c>
      <c r="E17" s="2"/>
    </row>
    <row r="18" spans="1:5" ht="12.75">
      <c r="A18" t="s">
        <v>499</v>
      </c>
      <c r="B18" s="105">
        <f>C21</f>
        <v>1211.14</v>
      </c>
      <c r="E18" s="2"/>
    </row>
    <row r="19" spans="2:5" ht="12.75" outlineLevel="1">
      <c r="B19" s="105"/>
      <c r="C19" s="136">
        <v>605.57</v>
      </c>
      <c r="D19" t="s">
        <v>1413</v>
      </c>
      <c r="E19" s="2" t="s">
        <v>199</v>
      </c>
    </row>
    <row r="20" spans="2:5" ht="12.75" outlineLevel="1">
      <c r="B20" s="105"/>
      <c r="C20" s="136">
        <v>605.57</v>
      </c>
      <c r="D20" t="s">
        <v>1414</v>
      </c>
      <c r="E20" s="2" t="s">
        <v>199</v>
      </c>
    </row>
    <row r="21" spans="2:4" ht="12.75" outlineLevel="1">
      <c r="B21" s="105"/>
      <c r="C21" s="136">
        <f>SUM(C19:C20)</f>
        <v>1211.14</v>
      </c>
      <c r="D21" t="s">
        <v>358</v>
      </c>
    </row>
    <row r="22" spans="1:5" ht="12.75">
      <c r="A22" t="s">
        <v>917</v>
      </c>
      <c r="B22" s="105">
        <f>C24</f>
        <v>0</v>
      </c>
      <c r="E22" s="2"/>
    </row>
    <row r="23" spans="2:5" ht="12.75" outlineLevel="1">
      <c r="B23" s="105"/>
      <c r="C23" s="136">
        <v>0</v>
      </c>
      <c r="E23" s="2"/>
    </row>
    <row r="24" spans="2:3" ht="12.75" outlineLevel="1">
      <c r="B24" s="105"/>
      <c r="C24" s="136">
        <f>SUM(C23:C23)</f>
        <v>0</v>
      </c>
    </row>
    <row r="25" spans="1:2" ht="12.75">
      <c r="A25" t="s">
        <v>1142</v>
      </c>
      <c r="B25" s="105">
        <f>C26</f>
        <v>0</v>
      </c>
    </row>
    <row r="26" spans="2:7" ht="12.75" outlineLevel="1">
      <c r="B26" s="105"/>
      <c r="C26" s="136">
        <v>0</v>
      </c>
      <c r="E26" s="188"/>
      <c r="F26" s="106"/>
      <c r="G26" s="188"/>
    </row>
    <row r="27" spans="1:2" ht="12.75">
      <c r="A27" t="s">
        <v>1134</v>
      </c>
      <c r="B27" s="105">
        <f>C30</f>
        <v>632.97</v>
      </c>
    </row>
    <row r="28" spans="2:5" ht="12.75" outlineLevel="1">
      <c r="B28" s="105"/>
      <c r="C28" s="136">
        <v>273.11</v>
      </c>
      <c r="D28" t="s">
        <v>1415</v>
      </c>
      <c r="E28" s="2" t="s">
        <v>370</v>
      </c>
    </row>
    <row r="29" spans="2:5" ht="12.75" outlineLevel="1">
      <c r="B29" s="105"/>
      <c r="C29" s="136">
        <v>359.86</v>
      </c>
      <c r="D29" t="s">
        <v>1416</v>
      </c>
      <c r="E29" s="2" t="s">
        <v>370</v>
      </c>
    </row>
    <row r="30" spans="2:3" ht="12.75" outlineLevel="1">
      <c r="B30" s="105"/>
      <c r="C30" s="136">
        <f>SUM(C28:C29)</f>
        <v>632.97</v>
      </c>
    </row>
    <row r="31" spans="1:6" s="68" customFormat="1" ht="12.75">
      <c r="A31" t="s">
        <v>504</v>
      </c>
      <c r="B31" s="156">
        <f>C32</f>
        <v>0</v>
      </c>
      <c r="C31" s="151"/>
      <c r="D31" s="2"/>
      <c r="F31" s="228"/>
    </row>
    <row r="32" spans="1:6" s="68" customFormat="1" ht="12.75" outlineLevel="1">
      <c r="A32"/>
      <c r="B32" s="154"/>
      <c r="C32" s="151">
        <v>0</v>
      </c>
      <c r="F32" s="228"/>
    </row>
    <row r="33" spans="1:5" ht="12.75">
      <c r="A33" t="s">
        <v>1344</v>
      </c>
      <c r="B33" s="105">
        <f>C34</f>
        <v>0</v>
      </c>
      <c r="E33" s="2"/>
    </row>
    <row r="34" spans="2:6" s="68" customFormat="1" ht="12.75" outlineLevel="1">
      <c r="B34" s="154"/>
      <c r="C34" s="136">
        <v>0</v>
      </c>
      <c r="D34" t="s">
        <v>794</v>
      </c>
      <c r="E34" s="188"/>
      <c r="F34" s="228"/>
    </row>
    <row r="35" spans="1:5" ht="12.75">
      <c r="A35" t="s">
        <v>885</v>
      </c>
      <c r="B35" s="105">
        <f>C36</f>
        <v>1997.62</v>
      </c>
      <c r="E35" s="2"/>
    </row>
    <row r="36" spans="2:6" s="68" customFormat="1" ht="12.75" outlineLevel="1">
      <c r="B36" s="154"/>
      <c r="C36" s="105">
        <v>1997.62</v>
      </c>
      <c r="D36" t="s">
        <v>1423</v>
      </c>
      <c r="E36" s="106" t="s">
        <v>1062</v>
      </c>
      <c r="F36" s="228"/>
    </row>
    <row r="37" spans="1:6" s="68" customFormat="1" ht="12.75">
      <c r="A37" s="2" t="s">
        <v>518</v>
      </c>
      <c r="B37" s="156">
        <f>C38</f>
        <v>0</v>
      </c>
      <c r="C37" s="136"/>
      <c r="D37"/>
      <c r="E37" s="106"/>
      <c r="F37" s="228"/>
    </row>
    <row r="38" spans="1:6" s="68" customFormat="1" ht="12.75" outlineLevel="1">
      <c r="A38" s="2"/>
      <c r="B38" s="156"/>
      <c r="C38" s="136">
        <v>0</v>
      </c>
      <c r="D38" t="s">
        <v>227</v>
      </c>
      <c r="E38" s="188" t="s">
        <v>227</v>
      </c>
      <c r="F38" s="228"/>
    </row>
    <row r="39" spans="1:5" ht="12.75">
      <c r="A39" t="s">
        <v>439</v>
      </c>
      <c r="B39" s="105">
        <f>SUM(B6:B38)</f>
        <v>9703.61</v>
      </c>
      <c r="E39" s="2"/>
    </row>
    <row r="40" spans="2:5" ht="12.75">
      <c r="B40" s="105"/>
      <c r="E40" s="2"/>
    </row>
    <row r="41" spans="1:5" ht="12.75">
      <c r="A41" t="s">
        <v>507</v>
      </c>
      <c r="B41" s="105">
        <f>C51</f>
        <v>4657.7328</v>
      </c>
      <c r="E41" s="2"/>
    </row>
    <row r="42" spans="2:5" ht="12.75" outlineLevel="1">
      <c r="B42" s="105"/>
      <c r="C42" s="136">
        <f>$B$4*B6</f>
        <v>2184.6911999999998</v>
      </c>
      <c r="D42" t="s">
        <v>591</v>
      </c>
      <c r="E42" s="2" t="s">
        <v>124</v>
      </c>
    </row>
    <row r="43" spans="2:5" ht="12.75" outlineLevel="1">
      <c r="B43" s="105"/>
      <c r="C43" s="136">
        <f>$B$4*B10</f>
        <v>629.0112</v>
      </c>
      <c r="D43" t="s">
        <v>500</v>
      </c>
      <c r="E43" s="2" t="s">
        <v>124</v>
      </c>
    </row>
    <row r="44" spans="2:5" ht="12.75" outlineLevel="1">
      <c r="B44" s="105"/>
      <c r="C44" s="136">
        <f>$B$4*B18</f>
        <v>581.3472</v>
      </c>
      <c r="D44" t="s">
        <v>499</v>
      </c>
      <c r="E44" s="2" t="s">
        <v>199</v>
      </c>
    </row>
    <row r="45" spans="2:5" ht="12.75" outlineLevel="1">
      <c r="B45" s="105"/>
      <c r="C45" s="136">
        <f>$B$4*B22</f>
        <v>0</v>
      </c>
      <c r="D45" t="s">
        <v>917</v>
      </c>
      <c r="E45" s="2"/>
    </row>
    <row r="46" spans="2:5" ht="12.75" outlineLevel="1">
      <c r="B46" s="105"/>
      <c r="C46" s="136">
        <f>$B$4*B33</f>
        <v>0</v>
      </c>
      <c r="D46" t="s">
        <v>1344</v>
      </c>
      <c r="E46" s="2"/>
    </row>
    <row r="47" spans="2:5" ht="12.75" outlineLevel="1">
      <c r="B47" s="105"/>
      <c r="C47" s="136">
        <f>$B$4*B35</f>
        <v>958.8575999999999</v>
      </c>
      <c r="D47" t="s">
        <v>885</v>
      </c>
      <c r="E47" s="106" t="s">
        <v>1062</v>
      </c>
    </row>
    <row r="48" spans="2:5" ht="12.75" outlineLevel="1">
      <c r="B48" s="105"/>
      <c r="C48" s="136">
        <f>$B$4*B37</f>
        <v>0</v>
      </c>
      <c r="D48" s="2" t="s">
        <v>518</v>
      </c>
      <c r="E48" s="188"/>
    </row>
    <row r="49" spans="2:5" ht="12.75" outlineLevel="1">
      <c r="B49" s="105"/>
      <c r="C49" s="136">
        <f>$B$4*B27</f>
        <v>303.8256</v>
      </c>
      <c r="D49" t="s">
        <v>1134</v>
      </c>
      <c r="E49" s="2" t="s">
        <v>370</v>
      </c>
    </row>
    <row r="50" spans="2:5" ht="12.75" outlineLevel="1">
      <c r="B50" s="105"/>
      <c r="C50" s="136">
        <f>$B$4*B31</f>
        <v>0</v>
      </c>
      <c r="D50" t="s">
        <v>504</v>
      </c>
      <c r="E50" s="2" t="s">
        <v>370</v>
      </c>
    </row>
    <row r="51" spans="2:4" ht="12.75" outlineLevel="1">
      <c r="B51" s="105"/>
      <c r="C51" s="136">
        <f>SUM(C42:C50)</f>
        <v>4657.7328</v>
      </c>
      <c r="D51" t="s">
        <v>237</v>
      </c>
    </row>
    <row r="52" spans="1:2" ht="12.75">
      <c r="A52" t="s">
        <v>509</v>
      </c>
      <c r="B52" s="105">
        <f>B39+B41</f>
        <v>14361.3428</v>
      </c>
    </row>
    <row r="53" ht="12.75">
      <c r="B53" s="105"/>
    </row>
    <row r="54" spans="1:2" ht="12.75">
      <c r="A54" t="s">
        <v>1206</v>
      </c>
      <c r="B54" s="105">
        <f>C55</f>
        <v>0</v>
      </c>
    </row>
    <row r="55" spans="2:5" ht="12.75" outlineLevel="1">
      <c r="B55" s="105"/>
      <c r="C55" s="136">
        <v>0</v>
      </c>
      <c r="E55" s="188"/>
    </row>
    <row r="56" spans="1:5" ht="12.75">
      <c r="A56" t="s">
        <v>594</v>
      </c>
      <c r="B56" s="105">
        <f>C60</f>
        <v>12804.15</v>
      </c>
      <c r="E56" s="2"/>
    </row>
    <row r="57" spans="2:5" ht="12.75" outlineLevel="1">
      <c r="B57" s="105"/>
      <c r="C57" s="136">
        <v>6944.7</v>
      </c>
      <c r="D57" t="s">
        <v>1417</v>
      </c>
      <c r="E57" s="188" t="s">
        <v>199</v>
      </c>
    </row>
    <row r="58" spans="2:5" ht="12.75" outlineLevel="1">
      <c r="B58" s="105"/>
      <c r="C58" s="136">
        <v>5835.96</v>
      </c>
      <c r="D58" t="s">
        <v>1418</v>
      </c>
      <c r="E58" s="188" t="s">
        <v>199</v>
      </c>
    </row>
    <row r="59" spans="2:5" ht="12.75" outlineLevel="1">
      <c r="B59" s="143"/>
      <c r="C59" s="269">
        <f>8.43+8.24+6.82</f>
        <v>23.490000000000002</v>
      </c>
      <c r="D59" t="s">
        <v>1404</v>
      </c>
      <c r="E59" s="188" t="s">
        <v>198</v>
      </c>
    </row>
    <row r="60" spans="1:5" ht="12.75" outlineLevel="1">
      <c r="A60" t="s">
        <v>368</v>
      </c>
      <c r="B60" s="105">
        <f>B56+B54</f>
        <v>12804.15</v>
      </c>
      <c r="C60" s="105">
        <f>SUM(C57:C59)</f>
        <v>12804.15</v>
      </c>
      <c r="E60" s="2"/>
    </row>
    <row r="61" spans="2:5" ht="12.75">
      <c r="B61" s="105"/>
      <c r="C61" s="105"/>
      <c r="E61" s="2"/>
    </row>
    <row r="62" spans="1:5" ht="12.75">
      <c r="A62" t="s">
        <v>415</v>
      </c>
      <c r="B62" s="105">
        <f>B60+B52</f>
        <v>27165.4928</v>
      </c>
      <c r="C62" s="105"/>
      <c r="E62" s="2"/>
    </row>
    <row r="63" ht="12.75">
      <c r="B63" s="105"/>
    </row>
    <row r="65" spans="3:4" ht="12.75">
      <c r="C65" s="188" t="s">
        <v>429</v>
      </c>
      <c r="D65" s="188" t="s">
        <v>1024</v>
      </c>
    </row>
    <row r="66" spans="3:5" ht="12.75">
      <c r="C66" s="188" t="s">
        <v>370</v>
      </c>
      <c r="D66" s="188" t="s">
        <v>367</v>
      </c>
      <c r="E66" s="136">
        <f>B27+B31+C49+C50</f>
        <v>936.7956</v>
      </c>
    </row>
    <row r="67" spans="3:6" ht="12.75">
      <c r="C67" s="2" t="s">
        <v>1428</v>
      </c>
      <c r="D67" s="2" t="s">
        <v>1431</v>
      </c>
      <c r="F67" s="105"/>
    </row>
    <row r="68" spans="3:5" ht="12.75">
      <c r="C68" s="2" t="s">
        <v>1429</v>
      </c>
      <c r="D68" s="2" t="s">
        <v>1430</v>
      </c>
      <c r="E68" s="199"/>
    </row>
    <row r="69" spans="3:4" ht="12.75">
      <c r="C69" s="188" t="s">
        <v>182</v>
      </c>
      <c r="D69" s="188" t="s">
        <v>855</v>
      </c>
    </row>
    <row r="70" spans="3:4" ht="12.75">
      <c r="C70" s="188" t="s">
        <v>187</v>
      </c>
      <c r="D70" s="189" t="s">
        <v>1779</v>
      </c>
    </row>
    <row r="71" spans="3:4" ht="12.75">
      <c r="C71" s="188" t="s">
        <v>189</v>
      </c>
      <c r="D71" s="106" t="s">
        <v>851</v>
      </c>
    </row>
    <row r="72" spans="3:4" ht="12.75">
      <c r="C72" s="106" t="s">
        <v>190</v>
      </c>
      <c r="D72" s="106" t="s">
        <v>852</v>
      </c>
    </row>
    <row r="73" spans="3:4" ht="12.75">
      <c r="C73" s="188" t="s">
        <v>192</v>
      </c>
      <c r="D73" s="200" t="s">
        <v>1025</v>
      </c>
    </row>
    <row r="74" spans="3:5" ht="12.75">
      <c r="C74" s="188" t="s">
        <v>193</v>
      </c>
      <c r="D74" s="200" t="s">
        <v>1026</v>
      </c>
      <c r="E74" s="136"/>
    </row>
    <row r="75" spans="3:4" ht="12.75">
      <c r="C75" s="188" t="s">
        <v>195</v>
      </c>
      <c r="D75" s="200" t="s">
        <v>1029</v>
      </c>
    </row>
    <row r="76" spans="3:5" ht="12.75">
      <c r="C76" s="188" t="s">
        <v>196</v>
      </c>
      <c r="D76" s="200" t="s">
        <v>1030</v>
      </c>
      <c r="E76" s="105"/>
    </row>
    <row r="77" spans="3:5" ht="12.75">
      <c r="C77" s="188" t="s">
        <v>198</v>
      </c>
      <c r="D77" s="200" t="s">
        <v>1099</v>
      </c>
      <c r="E77" s="105">
        <f>C59</f>
        <v>23.490000000000002</v>
      </c>
    </row>
    <row r="78" spans="3:7" ht="12.75">
      <c r="C78" s="188" t="s">
        <v>199</v>
      </c>
      <c r="D78" s="200" t="s">
        <v>1100</v>
      </c>
      <c r="E78" s="105">
        <f>B18+C44+C57+C58</f>
        <v>14573.1472</v>
      </c>
      <c r="F78" s="105">
        <v>2890</v>
      </c>
      <c r="G78" s="105">
        <f>F78-E79-E68</f>
        <v>2890</v>
      </c>
    </row>
    <row r="79" spans="3:5" ht="12.75">
      <c r="C79" s="188" t="s">
        <v>200</v>
      </c>
      <c r="D79" s="200" t="s">
        <v>1101</v>
      </c>
      <c r="E79" s="199"/>
    </row>
    <row r="80" spans="3:4" ht="12.75">
      <c r="C80" s="188" t="s">
        <v>17</v>
      </c>
      <c r="D80" s="200" t="s">
        <v>18</v>
      </c>
    </row>
    <row r="81" spans="3:4" ht="12.75">
      <c r="C81" s="106" t="s">
        <v>60</v>
      </c>
      <c r="D81" s="106" t="s">
        <v>847</v>
      </c>
    </row>
    <row r="82" spans="3:4" ht="12.75">
      <c r="C82" s="106" t="s">
        <v>62</v>
      </c>
      <c r="D82" s="106" t="s">
        <v>848</v>
      </c>
    </row>
    <row r="83" spans="3:4" ht="12.75">
      <c r="C83" s="106" t="s">
        <v>64</v>
      </c>
      <c r="D83" s="106" t="s">
        <v>853</v>
      </c>
    </row>
    <row r="84" spans="3:5" ht="12.75">
      <c r="C84" s="188" t="s">
        <v>68</v>
      </c>
      <c r="D84" s="106" t="s">
        <v>849</v>
      </c>
      <c r="E84" s="105"/>
    </row>
    <row r="85" spans="3:5" ht="12.75">
      <c r="C85" s="188" t="s">
        <v>70</v>
      </c>
      <c r="D85" s="106" t="s">
        <v>850</v>
      </c>
      <c r="E85" s="136"/>
    </row>
    <row r="86" spans="3:4" ht="12.75">
      <c r="C86" s="188" t="s">
        <v>89</v>
      </c>
      <c r="D86" s="106" t="s">
        <v>854</v>
      </c>
    </row>
    <row r="87" spans="3:5" ht="12.75">
      <c r="C87" s="106" t="s">
        <v>124</v>
      </c>
      <c r="D87" s="106" t="s">
        <v>846</v>
      </c>
      <c r="E87" s="136">
        <f>B6+B10+C42+C43</f>
        <v>8675.5824</v>
      </c>
    </row>
    <row r="88" spans="3:4" ht="12.75">
      <c r="C88" s="106" t="s">
        <v>1033</v>
      </c>
      <c r="D88" s="106" t="s">
        <v>1102</v>
      </c>
    </row>
    <row r="89" spans="3:5" ht="12.75">
      <c r="C89" s="106" t="s">
        <v>1062</v>
      </c>
      <c r="D89" s="106" t="s">
        <v>1103</v>
      </c>
      <c r="E89" s="136">
        <f>B35+C47</f>
        <v>2956.4775999999997</v>
      </c>
    </row>
    <row r="90" spans="3:5" ht="12.75">
      <c r="C90" s="106" t="s">
        <v>1104</v>
      </c>
      <c r="D90" s="106" t="s">
        <v>1105</v>
      </c>
      <c r="E90" s="105"/>
    </row>
    <row r="91" spans="4:5" ht="12.75">
      <c r="D91" s="200" t="s">
        <v>358</v>
      </c>
      <c r="E91" s="136">
        <f>SUM(E65:E90)</f>
        <v>27165.492799999996</v>
      </c>
    </row>
    <row r="92" spans="4:5" ht="12.75">
      <c r="D92" s="200" t="s">
        <v>1106</v>
      </c>
      <c r="E92" s="105">
        <f>B62-E91</f>
        <v>0</v>
      </c>
    </row>
  </sheetData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outlinePr summaryBelow="0"/>
  </sheetPr>
  <dimension ref="A1:G74"/>
  <sheetViews>
    <sheetView workbookViewId="0" topLeftCell="A40">
      <selection activeCell="E49" sqref="E49:E72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454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600</v>
      </c>
      <c r="B6" s="136">
        <v>2164.33</v>
      </c>
      <c r="E6" s="2"/>
    </row>
    <row r="7" spans="2:5" ht="12.75" outlineLevel="1">
      <c r="B7" s="105"/>
      <c r="C7" s="136">
        <v>2164.33</v>
      </c>
      <c r="D7" t="s">
        <v>601</v>
      </c>
      <c r="E7" s="2" t="s">
        <v>189</v>
      </c>
    </row>
    <row r="8" spans="1:5" ht="12.75">
      <c r="A8" t="s">
        <v>606</v>
      </c>
      <c r="B8" s="105">
        <v>2585.07</v>
      </c>
      <c r="E8" s="2"/>
    </row>
    <row r="9" spans="2:5" ht="12.75" outlineLevel="1">
      <c r="B9" s="105"/>
      <c r="C9" s="136">
        <v>26.24</v>
      </c>
      <c r="D9" t="s">
        <v>607</v>
      </c>
      <c r="E9" s="2" t="s">
        <v>187</v>
      </c>
    </row>
    <row r="10" spans="2:5" ht="12.75" outlineLevel="1">
      <c r="B10" s="105"/>
      <c r="C10" s="136">
        <v>120.94</v>
      </c>
      <c r="D10" t="s">
        <v>608</v>
      </c>
      <c r="E10" s="2" t="s">
        <v>187</v>
      </c>
    </row>
    <row r="11" spans="2:5" ht="12.75" outlineLevel="1">
      <c r="B11" s="105"/>
      <c r="C11" s="136">
        <v>177</v>
      </c>
      <c r="D11" t="s">
        <v>609</v>
      </c>
      <c r="E11" s="2" t="s">
        <v>187</v>
      </c>
    </row>
    <row r="12" spans="2:5" ht="12.75" outlineLevel="1">
      <c r="B12" s="105"/>
      <c r="C12" s="136">
        <v>2260.89</v>
      </c>
      <c r="D12" t="s">
        <v>610</v>
      </c>
      <c r="E12" s="2" t="s">
        <v>187</v>
      </c>
    </row>
    <row r="13" spans="2:5" ht="12.75" outlineLevel="1">
      <c r="B13" s="105"/>
      <c r="C13" s="136">
        <f>SUM(C9:C12)</f>
        <v>2585.0699999999997</v>
      </c>
      <c r="E13" s="2"/>
    </row>
    <row r="14" spans="1:5" ht="12.75">
      <c r="A14" t="s">
        <v>503</v>
      </c>
      <c r="B14" s="136">
        <v>2401.73</v>
      </c>
      <c r="E14" s="2"/>
    </row>
    <row r="15" spans="2:5" ht="12.75" outlineLevel="1">
      <c r="B15" s="105"/>
      <c r="C15" s="136">
        <v>440</v>
      </c>
      <c r="D15" t="s">
        <v>602</v>
      </c>
      <c r="E15" s="2" t="s">
        <v>370</v>
      </c>
    </row>
    <row r="16" spans="2:5" ht="12.75" outlineLevel="1">
      <c r="B16" s="105"/>
      <c r="C16" s="136">
        <v>148.96</v>
      </c>
      <c r="D16" t="s">
        <v>603</v>
      </c>
      <c r="E16" s="2" t="s">
        <v>370</v>
      </c>
    </row>
    <row r="17" spans="2:5" ht="12.75" outlineLevel="1">
      <c r="B17" s="105"/>
      <c r="C17" s="136">
        <v>598.77</v>
      </c>
      <c r="D17" t="s">
        <v>603</v>
      </c>
      <c r="E17" s="2" t="s">
        <v>370</v>
      </c>
    </row>
    <row r="18" spans="2:5" ht="12.75" outlineLevel="1">
      <c r="B18" s="105"/>
      <c r="C18" s="136">
        <v>326</v>
      </c>
      <c r="D18" t="s">
        <v>605</v>
      </c>
      <c r="E18" s="2" t="s">
        <v>370</v>
      </c>
    </row>
    <row r="19" spans="2:5" ht="12.75" outlineLevel="1">
      <c r="B19" s="105"/>
      <c r="C19" s="136">
        <v>305</v>
      </c>
      <c r="D19" t="s">
        <v>605</v>
      </c>
      <c r="E19" s="2" t="s">
        <v>370</v>
      </c>
    </row>
    <row r="20" spans="2:5" ht="12.75" outlineLevel="1">
      <c r="B20" s="105"/>
      <c r="C20" s="136">
        <v>245</v>
      </c>
      <c r="D20" t="s">
        <v>605</v>
      </c>
      <c r="E20" s="2" t="s">
        <v>370</v>
      </c>
    </row>
    <row r="21" spans="2:5" ht="12.75" outlineLevel="1">
      <c r="B21" s="105"/>
      <c r="C21" s="136">
        <v>338</v>
      </c>
      <c r="D21" t="s">
        <v>604</v>
      </c>
      <c r="E21" s="2" t="s">
        <v>370</v>
      </c>
    </row>
    <row r="22" spans="2:5" ht="12.75" outlineLevel="1">
      <c r="B22" s="105"/>
      <c r="C22" s="136">
        <f>SUM(C15:C21)</f>
        <v>2401.73</v>
      </c>
      <c r="E22" s="2"/>
    </row>
    <row r="23" spans="1:5" ht="12.75">
      <c r="A23" t="s">
        <v>439</v>
      </c>
      <c r="B23" s="105">
        <f>SUM(B6:B22)</f>
        <v>7151.129999999999</v>
      </c>
      <c r="E23" s="2"/>
    </row>
    <row r="24" spans="2:5" ht="12.75">
      <c r="B24" s="105"/>
      <c r="E24" s="2"/>
    </row>
    <row r="25" spans="1:5" ht="12.75">
      <c r="A25" t="s">
        <v>611</v>
      </c>
      <c r="B25" s="105">
        <v>3432.5423999999994</v>
      </c>
      <c r="E25" s="2"/>
    </row>
    <row r="26" spans="2:5" ht="12.75" outlineLevel="1">
      <c r="B26" s="105"/>
      <c r="C26" s="136">
        <f>$B$4*C7</f>
        <v>1038.8783999999998</v>
      </c>
      <c r="D26" t="s">
        <v>600</v>
      </c>
      <c r="E26" s="2" t="s">
        <v>189</v>
      </c>
    </row>
    <row r="27" spans="2:5" ht="12.75" outlineLevel="1">
      <c r="B27" s="105"/>
      <c r="C27" s="136">
        <f>$B$4*C13</f>
        <v>1240.8335999999997</v>
      </c>
      <c r="D27" t="s">
        <v>606</v>
      </c>
      <c r="E27" s="2" t="s">
        <v>187</v>
      </c>
    </row>
    <row r="28" spans="2:5" ht="12.75" outlineLevel="1">
      <c r="B28" s="105"/>
      <c r="C28" s="136">
        <f>$B$4*C22</f>
        <v>1152.8304</v>
      </c>
      <c r="D28" t="s">
        <v>503</v>
      </c>
      <c r="E28" s="2" t="s">
        <v>370</v>
      </c>
    </row>
    <row r="29" spans="2:5" ht="12.75" outlineLevel="1">
      <c r="B29" s="105"/>
      <c r="C29" s="136">
        <f>SUM(C26:C28)</f>
        <v>3432.5423999999994</v>
      </c>
      <c r="E29" s="2"/>
    </row>
    <row r="30" spans="2:5" ht="12.75">
      <c r="B30" s="105"/>
      <c r="E30" s="2"/>
    </row>
    <row r="31" spans="1:5" ht="12.75">
      <c r="A31" t="s">
        <v>612</v>
      </c>
      <c r="B31" s="105">
        <f>B23+B25</f>
        <v>10583.6724</v>
      </c>
      <c r="E31" s="2"/>
    </row>
    <row r="32" spans="2:5" ht="12.75">
      <c r="B32" s="105"/>
      <c r="E32" s="2"/>
    </row>
    <row r="33" spans="1:5" ht="12.75">
      <c r="A33" t="s">
        <v>396</v>
      </c>
      <c r="B33" s="105">
        <v>7973.31</v>
      </c>
      <c r="E33" s="2"/>
    </row>
    <row r="34" spans="2:5" ht="12.75" outlineLevel="1">
      <c r="B34" s="105"/>
      <c r="C34" s="136">
        <v>2427.04</v>
      </c>
      <c r="D34" t="s">
        <v>613</v>
      </c>
      <c r="E34" s="2" t="s">
        <v>68</v>
      </c>
    </row>
    <row r="35" spans="2:5" ht="12.75" outlineLevel="1">
      <c r="B35" s="105"/>
      <c r="C35" s="136">
        <v>2009.46</v>
      </c>
      <c r="D35" t="s">
        <v>614</v>
      </c>
      <c r="E35" s="2" t="s">
        <v>68</v>
      </c>
    </row>
    <row r="36" spans="2:5" ht="12.75" outlineLevel="1">
      <c r="B36" s="105"/>
      <c r="C36" s="136">
        <v>876.65</v>
      </c>
      <c r="D36" t="s">
        <v>615</v>
      </c>
      <c r="E36" s="2" t="s">
        <v>68</v>
      </c>
    </row>
    <row r="37" spans="2:5" ht="12.75" outlineLevel="1">
      <c r="B37" s="105"/>
      <c r="C37" s="136">
        <v>2276.41</v>
      </c>
      <c r="D37" t="s">
        <v>616</v>
      </c>
      <c r="E37" s="2" t="s">
        <v>68</v>
      </c>
    </row>
    <row r="38" spans="2:7" ht="12.75" outlineLevel="1">
      <c r="B38" s="105"/>
      <c r="C38" s="143">
        <v>383.75</v>
      </c>
      <c r="D38" s="153" t="s">
        <v>617</v>
      </c>
      <c r="E38" s="2" t="s">
        <v>70</v>
      </c>
      <c r="F38" s="139"/>
      <c r="G38" s="140"/>
    </row>
    <row r="39" spans="2:5" ht="12.75" outlineLevel="1">
      <c r="B39" s="105"/>
      <c r="C39" s="136">
        <f>SUM(C34:C38)</f>
        <v>7973.3099999999995</v>
      </c>
      <c r="E39" s="2"/>
    </row>
    <row r="40" spans="1:5" ht="12.75">
      <c r="A40" t="s">
        <v>368</v>
      </c>
      <c r="B40" s="105">
        <f>SUM(B33:B39)</f>
        <v>7973.31</v>
      </c>
      <c r="E40" s="2"/>
    </row>
    <row r="41" spans="2:5" ht="12.75">
      <c r="B41" s="105"/>
      <c r="E41" s="2"/>
    </row>
    <row r="42" spans="2:5" ht="12.75">
      <c r="B42" s="105"/>
      <c r="E42" s="2"/>
    </row>
    <row r="43" spans="1:2" ht="12.75">
      <c r="A43" t="s">
        <v>415</v>
      </c>
      <c r="B43" s="105">
        <f>B31+B40</f>
        <v>18556.9824</v>
      </c>
    </row>
    <row r="44" ht="12.75">
      <c r="B44" s="105"/>
    </row>
    <row r="45" spans="1:2" ht="12.75">
      <c r="A45" t="s">
        <v>416</v>
      </c>
      <c r="B45" s="105">
        <v>0</v>
      </c>
    </row>
    <row r="46" ht="12.75">
      <c r="B46" s="105"/>
    </row>
    <row r="47" spans="1:2" ht="12.75">
      <c r="A47" t="s">
        <v>417</v>
      </c>
      <c r="B47" s="105">
        <f>B43-B45</f>
        <v>18556.9824</v>
      </c>
    </row>
    <row r="48" ht="12.75">
      <c r="B48" s="105"/>
    </row>
    <row r="49" spans="1:5" ht="12.75">
      <c r="A49" s="2"/>
      <c r="C49" s="271" t="s">
        <v>429</v>
      </c>
      <c r="D49" s="271" t="s">
        <v>1024</v>
      </c>
      <c r="E49" s="136"/>
    </row>
    <row r="50" spans="1:5" ht="12.75">
      <c r="A50" s="2"/>
      <c r="C50" s="271" t="s">
        <v>370</v>
      </c>
      <c r="D50" s="271" t="s">
        <v>367</v>
      </c>
      <c r="E50" s="136">
        <f>C28+C21+C20+C19+C18+C17+C16+C15</f>
        <v>3554.5604</v>
      </c>
    </row>
    <row r="51" spans="1:5" ht="12.75">
      <c r="A51" s="2"/>
      <c r="C51" s="271" t="s">
        <v>182</v>
      </c>
      <c r="D51" s="271" t="s">
        <v>855</v>
      </c>
      <c r="E51" s="136"/>
    </row>
    <row r="52" spans="1:5" ht="12.75">
      <c r="A52" s="2"/>
      <c r="C52" s="271" t="s">
        <v>187</v>
      </c>
      <c r="D52" s="293" t="s">
        <v>1779</v>
      </c>
      <c r="E52" s="136">
        <f>C9+C10+C11+C12+C27</f>
        <v>3825.9035999999996</v>
      </c>
    </row>
    <row r="53" spans="1:5" ht="12.75">
      <c r="A53" s="2"/>
      <c r="C53" s="271" t="s">
        <v>189</v>
      </c>
      <c r="D53" s="271" t="s">
        <v>851</v>
      </c>
      <c r="E53" s="136">
        <f>C26+C7</f>
        <v>3203.2083999999995</v>
      </c>
    </row>
    <row r="54" spans="2:5" ht="12.75">
      <c r="B54" s="136"/>
      <c r="C54" s="200" t="s">
        <v>190</v>
      </c>
      <c r="D54" s="200" t="s">
        <v>852</v>
      </c>
      <c r="E54" s="136"/>
    </row>
    <row r="55" spans="3:5" ht="12.75">
      <c r="C55" s="271" t="s">
        <v>192</v>
      </c>
      <c r="D55" s="271" t="s">
        <v>1025</v>
      </c>
      <c r="E55" s="136"/>
    </row>
    <row r="56" spans="2:5" ht="12.75">
      <c r="B56" s="136"/>
      <c r="C56" s="271" t="s">
        <v>193</v>
      </c>
      <c r="D56" s="200" t="s">
        <v>1026</v>
      </c>
      <c r="E56" s="136"/>
    </row>
    <row r="57" spans="3:5" ht="12.75">
      <c r="C57" s="271" t="s">
        <v>195</v>
      </c>
      <c r="D57" s="271" t="s">
        <v>1029</v>
      </c>
      <c r="E57" s="136"/>
    </row>
    <row r="58" spans="2:5" ht="12.75">
      <c r="B58" s="136"/>
      <c r="C58" s="271" t="s">
        <v>196</v>
      </c>
      <c r="D58" s="200" t="s">
        <v>1030</v>
      </c>
      <c r="E58" s="136"/>
    </row>
    <row r="59" spans="2:5" ht="12.75">
      <c r="B59" s="136"/>
      <c r="C59" s="271" t="s">
        <v>198</v>
      </c>
      <c r="D59" s="200" t="s">
        <v>1099</v>
      </c>
      <c r="E59" s="136"/>
    </row>
    <row r="60" spans="3:5" ht="12.75">
      <c r="C60" s="271" t="s">
        <v>199</v>
      </c>
      <c r="D60" s="271" t="s">
        <v>1100</v>
      </c>
      <c r="E60" s="136"/>
    </row>
    <row r="61" spans="3:5" ht="12.75">
      <c r="C61" s="271" t="s">
        <v>200</v>
      </c>
      <c r="D61" s="200" t="s">
        <v>1101</v>
      </c>
      <c r="E61" s="136"/>
    </row>
    <row r="62" spans="3:5" ht="12.75">
      <c r="C62" s="271" t="s">
        <v>17</v>
      </c>
      <c r="D62" s="200" t="s">
        <v>18</v>
      </c>
      <c r="E62" s="136"/>
    </row>
    <row r="63" spans="3:5" ht="12.75">
      <c r="C63" s="271" t="s">
        <v>60</v>
      </c>
      <c r="D63" s="271" t="s">
        <v>847</v>
      </c>
      <c r="E63" s="136"/>
    </row>
    <row r="64" spans="3:5" ht="12.75">
      <c r="C64" s="200" t="s">
        <v>62</v>
      </c>
      <c r="D64" s="200" t="s">
        <v>848</v>
      </c>
      <c r="E64" s="136"/>
    </row>
    <row r="65" spans="3:5" ht="12.75">
      <c r="C65" s="200" t="s">
        <v>64</v>
      </c>
      <c r="D65" s="200" t="s">
        <v>853</v>
      </c>
      <c r="E65" s="136"/>
    </row>
    <row r="66" spans="3:5" ht="12.75">
      <c r="C66" s="271" t="s">
        <v>68</v>
      </c>
      <c r="D66" s="271" t="s">
        <v>849</v>
      </c>
      <c r="E66" s="136">
        <f>C34+C35+C36+C37</f>
        <v>7589.5599999999995</v>
      </c>
    </row>
    <row r="67" spans="3:5" ht="12.75">
      <c r="C67" s="271" t="s">
        <v>70</v>
      </c>
      <c r="D67" s="200" t="s">
        <v>850</v>
      </c>
      <c r="E67" s="136">
        <f>C38</f>
        <v>383.75</v>
      </c>
    </row>
    <row r="68" spans="3:5" ht="12.75">
      <c r="C68" s="271" t="s">
        <v>89</v>
      </c>
      <c r="D68" s="200" t="s">
        <v>854</v>
      </c>
      <c r="E68" s="136"/>
    </row>
    <row r="69" spans="3:5" ht="12.75">
      <c r="C69" s="200" t="s">
        <v>124</v>
      </c>
      <c r="D69" s="200" t="s">
        <v>846</v>
      </c>
      <c r="E69" s="136"/>
    </row>
    <row r="70" spans="3:5" ht="12.75">
      <c r="C70" s="200" t="s">
        <v>1033</v>
      </c>
      <c r="D70" s="200" t="s">
        <v>1102</v>
      </c>
      <c r="E70" s="136"/>
    </row>
    <row r="71" spans="3:5" ht="12.75">
      <c r="C71" s="200" t="s">
        <v>1062</v>
      </c>
      <c r="D71" s="200" t="s">
        <v>1103</v>
      </c>
      <c r="E71" s="136"/>
    </row>
    <row r="72" spans="3:5" ht="12.75">
      <c r="C72" s="200" t="s">
        <v>1104</v>
      </c>
      <c r="D72" s="200" t="s">
        <v>1105</v>
      </c>
      <c r="E72" s="136"/>
    </row>
    <row r="73" spans="3:5" ht="12.75">
      <c r="C73" s="294"/>
      <c r="D73" s="200" t="s">
        <v>237</v>
      </c>
      <c r="E73" s="136">
        <f>SUM(E49:E72)</f>
        <v>18556.9824</v>
      </c>
    </row>
    <row r="74" spans="4:5" ht="12.75">
      <c r="D74" s="200" t="s">
        <v>1106</v>
      </c>
      <c r="E74" s="136">
        <f>E73-B43</f>
        <v>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outlinePr summaryBelow="0"/>
    <pageSetUpPr fitToPage="1"/>
  </sheetPr>
  <dimension ref="A2:G108"/>
  <sheetViews>
    <sheetView workbookViewId="0" topLeftCell="A1">
      <selection activeCell="C7" sqref="C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1" ht="12.75"/>
    <row r="2" spans="1:3" ht="12.75">
      <c r="A2" t="s">
        <v>392</v>
      </c>
      <c r="B2" t="s">
        <v>1420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6989.71</v>
      </c>
    </row>
    <row r="7" spans="2:5" ht="12.75" outlineLevel="1">
      <c r="B7" s="105"/>
      <c r="C7" s="295">
        <f>3*2275.72</f>
        <v>6827.16</v>
      </c>
      <c r="D7" t="s">
        <v>1432</v>
      </c>
      <c r="E7" s="2" t="s">
        <v>124</v>
      </c>
    </row>
    <row r="8" spans="2:5" ht="12.75" outlineLevel="1">
      <c r="B8" s="105"/>
      <c r="C8" s="295">
        <v>162.55</v>
      </c>
      <c r="D8" t="s">
        <v>1421</v>
      </c>
      <c r="E8" s="2" t="s">
        <v>124</v>
      </c>
    </row>
    <row r="9" spans="2:5" ht="12.75" outlineLevel="1">
      <c r="B9" s="105"/>
      <c r="C9" s="136">
        <f>SUM(C7:C8)</f>
        <v>6989.71</v>
      </c>
      <c r="D9" t="s">
        <v>358</v>
      </c>
      <c r="E9" s="2"/>
    </row>
    <row r="10" spans="1:5" ht="12.75">
      <c r="A10" t="s">
        <v>499</v>
      </c>
      <c r="B10" s="105">
        <f>C13</f>
        <v>3219.96</v>
      </c>
      <c r="E10" s="2"/>
    </row>
    <row r="11" spans="2:5" ht="12.75" outlineLevel="1">
      <c r="B11" s="105"/>
      <c r="C11" s="295">
        <f>605.57+1965.57+605.57</f>
        <v>3176.71</v>
      </c>
      <c r="D11" t="s">
        <v>1433</v>
      </c>
      <c r="E11" s="2" t="s">
        <v>199</v>
      </c>
    </row>
    <row r="12" spans="2:5" ht="12.75" outlineLevel="1">
      <c r="B12" s="105"/>
      <c r="C12" s="295">
        <v>43.25</v>
      </c>
      <c r="D12" t="s">
        <v>1422</v>
      </c>
      <c r="E12" s="2" t="s">
        <v>199</v>
      </c>
    </row>
    <row r="13" spans="2:4" ht="12.75" outlineLevel="1">
      <c r="B13" s="105"/>
      <c r="C13" s="136">
        <f>SUM(C11:C12)</f>
        <v>3219.96</v>
      </c>
      <c r="D13" t="s">
        <v>358</v>
      </c>
    </row>
    <row r="14" spans="1:5" ht="12.75">
      <c r="A14" t="s">
        <v>1424</v>
      </c>
      <c r="B14" s="105">
        <f>C20</f>
        <v>1454.22</v>
      </c>
      <c r="E14" s="2"/>
    </row>
    <row r="15" spans="2:5" ht="12.75" outlineLevel="1">
      <c r="B15" s="105"/>
      <c r="C15" s="295">
        <v>215.07</v>
      </c>
      <c r="D15" t="s">
        <v>1425</v>
      </c>
      <c r="E15" s="2" t="s">
        <v>124</v>
      </c>
    </row>
    <row r="16" spans="2:5" ht="12.75" outlineLevel="1">
      <c r="B16" s="105"/>
      <c r="C16" s="295">
        <f>402.42+402.42</f>
        <v>804.84</v>
      </c>
      <c r="D16" t="s">
        <v>1426</v>
      </c>
      <c r="E16" s="2" t="s">
        <v>124</v>
      </c>
    </row>
    <row r="17" spans="2:5" ht="12.75" outlineLevel="1">
      <c r="B17" s="105"/>
      <c r="C17" s="295">
        <f>37.73+37.73</f>
        <v>75.46</v>
      </c>
      <c r="D17" t="s">
        <v>1427</v>
      </c>
      <c r="E17" s="2" t="s">
        <v>124</v>
      </c>
    </row>
    <row r="18" spans="2:5" ht="12.75" outlineLevel="1">
      <c r="B18" s="105"/>
      <c r="C18" s="295">
        <f>169.52+174.09+12.44</f>
        <v>356.05</v>
      </c>
      <c r="D18" t="s">
        <v>1434</v>
      </c>
      <c r="E18" s="2" t="s">
        <v>124</v>
      </c>
    </row>
    <row r="19" spans="2:5" ht="12.75" outlineLevel="1">
      <c r="B19" s="105"/>
      <c r="C19" s="295">
        <f>1.33+1.37+0.1</f>
        <v>2.8000000000000003</v>
      </c>
      <c r="D19" t="s">
        <v>1435</v>
      </c>
      <c r="E19" s="2" t="s">
        <v>124</v>
      </c>
    </row>
    <row r="20" spans="2:5" ht="12.75" outlineLevel="1">
      <c r="B20" s="105"/>
      <c r="C20" s="136">
        <f>SUM(C15:C19)</f>
        <v>1454.22</v>
      </c>
      <c r="D20" t="s">
        <v>358</v>
      </c>
      <c r="E20" s="2"/>
    </row>
    <row r="21" spans="1:6" ht="12.75">
      <c r="A21" t="s">
        <v>917</v>
      </c>
      <c r="B21" s="105">
        <f>C23</f>
        <v>0</v>
      </c>
      <c r="E21" s="2"/>
      <c r="F21" s="227">
        <f>B6+B10+B14</f>
        <v>11663.89</v>
      </c>
    </row>
    <row r="22" spans="2:5" ht="12.75" outlineLevel="1">
      <c r="B22" s="105"/>
      <c r="C22" s="136">
        <v>0</v>
      </c>
      <c r="E22" s="2"/>
    </row>
    <row r="23" spans="2:3" ht="12.75" outlineLevel="1">
      <c r="B23" s="105"/>
      <c r="C23" s="136">
        <f>SUM(C22:C22)</f>
        <v>0</v>
      </c>
    </row>
    <row r="24" spans="1:2" ht="12.75">
      <c r="A24" t="s">
        <v>1142</v>
      </c>
      <c r="B24" s="105">
        <f>C25</f>
        <v>0</v>
      </c>
    </row>
    <row r="25" spans="2:7" ht="12.75" outlineLevel="1">
      <c r="B25" s="105"/>
      <c r="C25" s="136">
        <v>0</v>
      </c>
      <c r="E25" s="188"/>
      <c r="F25" s="106"/>
      <c r="G25" s="188"/>
    </row>
    <row r="26" spans="1:2" ht="12.75">
      <c r="A26" t="s">
        <v>1134</v>
      </c>
      <c r="B26" s="156">
        <f>C31</f>
        <v>1030.49</v>
      </c>
    </row>
    <row r="27" spans="2:5" ht="12.75" outlineLevel="1">
      <c r="B27" s="105"/>
      <c r="C27" s="295">
        <v>159.71</v>
      </c>
      <c r="D27" t="s">
        <v>1416</v>
      </c>
      <c r="E27" s="188" t="s">
        <v>370</v>
      </c>
    </row>
    <row r="28" spans="2:5" ht="12.75" outlineLevel="1">
      <c r="B28" s="105"/>
      <c r="C28" s="295">
        <v>582.78</v>
      </c>
      <c r="D28" t="s">
        <v>1416</v>
      </c>
      <c r="E28" s="188" t="s">
        <v>370</v>
      </c>
    </row>
    <row r="29" spans="2:5" ht="12.75" outlineLevel="1">
      <c r="B29" s="105"/>
      <c r="C29" s="295">
        <v>24</v>
      </c>
      <c r="D29" t="s">
        <v>1092</v>
      </c>
      <c r="E29" s="188" t="s">
        <v>370</v>
      </c>
    </row>
    <row r="30" spans="2:5" ht="12.75" outlineLevel="1">
      <c r="B30" s="105"/>
      <c r="C30" s="295">
        <v>264</v>
      </c>
      <c r="D30" t="s">
        <v>1436</v>
      </c>
      <c r="E30" s="188" t="s">
        <v>370</v>
      </c>
    </row>
    <row r="31" spans="2:3" ht="12.75" outlineLevel="1">
      <c r="B31" s="105"/>
      <c r="C31" s="136">
        <f>SUM(C27:C30)</f>
        <v>1030.49</v>
      </c>
    </row>
    <row r="32" spans="1:6" s="68" customFormat="1" ht="12.75">
      <c r="A32" t="s">
        <v>504</v>
      </c>
      <c r="B32" s="156">
        <f>C33</f>
        <v>0</v>
      </c>
      <c r="C32" s="151"/>
      <c r="D32" s="2"/>
      <c r="F32" s="228"/>
    </row>
    <row r="33" spans="1:6" s="68" customFormat="1" ht="12.75" outlineLevel="1">
      <c r="A33"/>
      <c r="B33" s="154"/>
      <c r="C33" s="151">
        <v>0</v>
      </c>
      <c r="F33" s="228"/>
    </row>
    <row r="34" spans="1:5" ht="12.75">
      <c r="A34" t="s">
        <v>1344</v>
      </c>
      <c r="B34" s="105">
        <f>C35</f>
        <v>0</v>
      </c>
      <c r="E34" s="2"/>
    </row>
    <row r="35" spans="2:6" s="68" customFormat="1" ht="12.75" outlineLevel="1">
      <c r="B35" s="154"/>
      <c r="C35" s="136">
        <v>0</v>
      </c>
      <c r="D35" t="s">
        <v>794</v>
      </c>
      <c r="E35" s="188"/>
      <c r="F35" s="228"/>
    </row>
    <row r="36" spans="1:6" ht="12.75">
      <c r="A36" t="s">
        <v>885</v>
      </c>
      <c r="B36" s="105">
        <f>C45</f>
        <v>13693.38</v>
      </c>
      <c r="E36" s="2"/>
      <c r="F36" s="227" t="s">
        <v>1442</v>
      </c>
    </row>
    <row r="37" spans="2:6" ht="12.75" outlineLevel="1">
      <c r="B37" s="105"/>
      <c r="C37" s="295">
        <f>$G$45*F37</f>
        <v>55.18217253008833</v>
      </c>
      <c r="D37" t="s">
        <v>1443</v>
      </c>
      <c r="E37" s="2" t="s">
        <v>1429</v>
      </c>
      <c r="F37" s="227">
        <v>116</v>
      </c>
    </row>
    <row r="38" spans="2:6" ht="12.75" outlineLevel="1">
      <c r="B38" s="105"/>
      <c r="C38" s="295">
        <f aca="true" t="shared" si="0" ref="C38:C44">$G$45*F38</f>
        <v>8395.96755045294</v>
      </c>
      <c r="D38" t="s">
        <v>1444</v>
      </c>
      <c r="E38" s="2" t="s">
        <v>1429</v>
      </c>
      <c r="F38" s="227">
        <v>17649.4</v>
      </c>
    </row>
    <row r="39" spans="2:6" ht="12.75" outlineLevel="1">
      <c r="B39" s="105"/>
      <c r="C39" s="295">
        <f t="shared" si="0"/>
        <v>3296.6591002888977</v>
      </c>
      <c r="D39" t="s">
        <v>1445</v>
      </c>
      <c r="E39" s="2" t="s">
        <v>1429</v>
      </c>
      <c r="F39" s="227">
        <v>6930</v>
      </c>
    </row>
    <row r="40" spans="2:6" ht="12.75" outlineLevel="1">
      <c r="B40" s="105"/>
      <c r="C40" s="295">
        <f t="shared" si="0"/>
        <v>25.212544345643806</v>
      </c>
      <c r="D40" t="s">
        <v>1446</v>
      </c>
      <c r="E40" s="2" t="s">
        <v>1429</v>
      </c>
      <c r="F40" s="227">
        <v>53</v>
      </c>
    </row>
    <row r="41" spans="2:6" ht="12.75" outlineLevel="1">
      <c r="B41" s="105"/>
      <c r="C41" s="295">
        <f t="shared" si="0"/>
        <v>40.4352126298061</v>
      </c>
      <c r="D41" t="s">
        <v>1447</v>
      </c>
      <c r="E41" s="2" t="s">
        <v>1429</v>
      </c>
      <c r="F41" s="227">
        <v>85</v>
      </c>
    </row>
    <row r="42" spans="2:6" ht="12.75" outlineLevel="1">
      <c r="B42" s="105"/>
      <c r="C42" s="295">
        <f t="shared" si="0"/>
        <v>10.389471103940767</v>
      </c>
      <c r="D42" t="s">
        <v>1448</v>
      </c>
      <c r="E42" s="2" t="s">
        <v>1429</v>
      </c>
      <c r="F42" s="227">
        <v>21.84</v>
      </c>
    </row>
    <row r="43" spans="2:6" ht="12.75" outlineLevel="1">
      <c r="B43" s="105"/>
      <c r="C43" s="295">
        <f t="shared" si="0"/>
        <v>927.63134856614</v>
      </c>
      <c r="D43" t="s">
        <v>1449</v>
      </c>
      <c r="E43" s="188" t="s">
        <v>429</v>
      </c>
      <c r="F43" s="227">
        <v>1950</v>
      </c>
    </row>
    <row r="44" spans="2:6" ht="12.75" outlineLevel="1">
      <c r="B44" s="105"/>
      <c r="C44" s="295">
        <f t="shared" si="0"/>
        <v>941.9026000825422</v>
      </c>
      <c r="D44" t="s">
        <v>1449</v>
      </c>
      <c r="E44" s="188" t="s">
        <v>429</v>
      </c>
      <c r="F44" s="227">
        <v>1980</v>
      </c>
    </row>
    <row r="45" spans="2:7" s="68" customFormat="1" ht="12.75" outlineLevel="1">
      <c r="B45" s="154"/>
      <c r="C45" s="105">
        <f>SUM(C37:C44)</f>
        <v>13693.38</v>
      </c>
      <c r="D45" t="s">
        <v>1437</v>
      </c>
      <c r="E45" s="106"/>
      <c r="F45" s="300">
        <f>SUM(F37:F44)</f>
        <v>28785.24</v>
      </c>
      <c r="G45" s="2">
        <f>13693.38/F45</f>
        <v>0.4757083838800718</v>
      </c>
    </row>
    <row r="46" spans="1:6" s="68" customFormat="1" ht="12.75">
      <c r="A46" s="2" t="s">
        <v>518</v>
      </c>
      <c r="B46" s="156">
        <f>C49</f>
        <v>29.28</v>
      </c>
      <c r="C46" s="136"/>
      <c r="D46"/>
      <c r="E46" s="106"/>
      <c r="F46" s="228"/>
    </row>
    <row r="47" spans="1:6" s="68" customFormat="1" ht="12.75" outlineLevel="1">
      <c r="A47" s="2"/>
      <c r="B47" s="156"/>
      <c r="C47" s="295">
        <v>12.63</v>
      </c>
      <c r="D47" t="s">
        <v>1439</v>
      </c>
      <c r="E47" s="2" t="s">
        <v>1428</v>
      </c>
      <c r="F47" s="228"/>
    </row>
    <row r="48" spans="1:6" s="68" customFormat="1" ht="12.75" outlineLevel="1">
      <c r="A48" s="2"/>
      <c r="B48" s="156"/>
      <c r="C48" s="295">
        <v>16.65</v>
      </c>
      <c r="D48" t="s">
        <v>1439</v>
      </c>
      <c r="E48" s="2" t="s">
        <v>1428</v>
      </c>
      <c r="F48" s="228"/>
    </row>
    <row r="49" spans="1:6" s="68" customFormat="1" ht="12.75" outlineLevel="1">
      <c r="A49" s="2"/>
      <c r="B49" s="156"/>
      <c r="C49" s="136">
        <f>SUM(C47:C48)</f>
        <v>29.28</v>
      </c>
      <c r="D49" t="s">
        <v>227</v>
      </c>
      <c r="E49" s="188" t="s">
        <v>227</v>
      </c>
      <c r="F49" s="228"/>
    </row>
    <row r="50" spans="1:5" ht="12.75">
      <c r="A50" t="s">
        <v>439</v>
      </c>
      <c r="B50" s="105">
        <f>SUM(B6:B49)</f>
        <v>26417.039999999997</v>
      </c>
      <c r="E50" s="2"/>
    </row>
    <row r="51" spans="2:5" ht="12.75">
      <c r="B51" s="105"/>
      <c r="E51" s="2"/>
    </row>
    <row r="52" spans="1:5" ht="12.75">
      <c r="A52" t="s">
        <v>507</v>
      </c>
      <c r="B52" s="105">
        <f>C63</f>
        <v>12680.1792</v>
      </c>
      <c r="E52" s="2"/>
    </row>
    <row r="53" spans="2:6" ht="12.75" outlineLevel="1">
      <c r="B53" s="105"/>
      <c r="C53" s="295">
        <f>$B$4*B6</f>
        <v>3355.0607999999997</v>
      </c>
      <c r="D53" t="s">
        <v>591</v>
      </c>
      <c r="E53" s="2" t="s">
        <v>124</v>
      </c>
      <c r="F53" s="129">
        <f>C53+C54+C55</f>
        <v>5598.6672</v>
      </c>
    </row>
    <row r="54" spans="2:5" ht="12.75" outlineLevel="1">
      <c r="B54" s="105"/>
      <c r="C54" s="295">
        <f>$B$4*B14</f>
        <v>698.0255999999999</v>
      </c>
      <c r="D54" t="s">
        <v>1438</v>
      </c>
      <c r="E54" s="2" t="s">
        <v>124</v>
      </c>
    </row>
    <row r="55" spans="2:5" ht="12.75" outlineLevel="1">
      <c r="B55" s="105"/>
      <c r="C55" s="295">
        <f>$B$4*B10</f>
        <v>1545.5808</v>
      </c>
      <c r="D55" t="s">
        <v>499</v>
      </c>
      <c r="E55" s="2" t="s">
        <v>199</v>
      </c>
    </row>
    <row r="56" spans="2:5" ht="12.75" outlineLevel="1">
      <c r="B56" s="105"/>
      <c r="C56" s="136">
        <f>$B$4*B21</f>
        <v>0</v>
      </c>
      <c r="D56" t="s">
        <v>917</v>
      </c>
      <c r="E56" s="2"/>
    </row>
    <row r="57" spans="2:5" ht="12.75" outlineLevel="1">
      <c r="B57" s="105"/>
      <c r="C57" s="136">
        <f>$B$4*B34</f>
        <v>0</v>
      </c>
      <c r="D57" t="s">
        <v>1344</v>
      </c>
      <c r="E57" s="2"/>
    </row>
    <row r="58" spans="2:5" ht="12.75" outlineLevel="1">
      <c r="B58" s="105"/>
      <c r="C58" s="295">
        <f>$B$4*(C43+C44)</f>
        <v>897.3762953513675</v>
      </c>
      <c r="D58" t="s">
        <v>1450</v>
      </c>
      <c r="E58" s="188" t="s">
        <v>429</v>
      </c>
    </row>
    <row r="59" spans="2:6" ht="12.75" outlineLevel="1">
      <c r="B59" s="105"/>
      <c r="C59" s="295">
        <f>$B$4*B36-C58</f>
        <v>5675.446104648631</v>
      </c>
      <c r="D59" t="s">
        <v>885</v>
      </c>
      <c r="E59" s="2" t="s">
        <v>1429</v>
      </c>
      <c r="F59" s="129">
        <f>C58+C59+C60</f>
        <v>6586.876799999999</v>
      </c>
    </row>
    <row r="60" spans="2:5" ht="12.75" outlineLevel="1">
      <c r="B60" s="105"/>
      <c r="C60" s="295">
        <f>$B$4*B46</f>
        <v>14.0544</v>
      </c>
      <c r="D60" s="2" t="s">
        <v>518</v>
      </c>
      <c r="E60" s="2" t="s">
        <v>1428</v>
      </c>
    </row>
    <row r="61" spans="2:5" ht="12.75" outlineLevel="1">
      <c r="B61" s="105"/>
      <c r="C61" s="295">
        <f>$B$4*B26</f>
        <v>494.6352</v>
      </c>
      <c r="D61" t="s">
        <v>1134</v>
      </c>
      <c r="E61" s="2" t="s">
        <v>370</v>
      </c>
    </row>
    <row r="62" spans="2:5" ht="12.75" outlineLevel="1">
      <c r="B62" s="105"/>
      <c r="C62" s="136">
        <f>$B$4*B32</f>
        <v>0</v>
      </c>
      <c r="D62" t="s">
        <v>504</v>
      </c>
      <c r="E62" s="2"/>
    </row>
    <row r="63" spans="2:4" ht="12.75" outlineLevel="1">
      <c r="B63" s="105"/>
      <c r="C63" s="136">
        <f>SUM(C53:C62)</f>
        <v>12680.1792</v>
      </c>
      <c r="D63" t="s">
        <v>237</v>
      </c>
    </row>
    <row r="64" spans="1:2" ht="12.75">
      <c r="A64" t="s">
        <v>509</v>
      </c>
      <c r="B64" s="105">
        <f>B50+B52</f>
        <v>39097.2192</v>
      </c>
    </row>
    <row r="65" ht="12.75">
      <c r="B65" s="105"/>
    </row>
    <row r="66" spans="1:2" ht="12.75">
      <c r="A66" t="s">
        <v>1206</v>
      </c>
      <c r="B66" s="105">
        <f>C67</f>
        <v>0</v>
      </c>
    </row>
    <row r="67" spans="2:5" ht="12.75" outlineLevel="1">
      <c r="B67" s="105"/>
      <c r="C67" s="136">
        <v>0</v>
      </c>
      <c r="E67" s="188"/>
    </row>
    <row r="68" spans="1:5" ht="12.75">
      <c r="A68" t="s">
        <v>594</v>
      </c>
      <c r="B68" s="105">
        <f>C76</f>
        <v>28212.32</v>
      </c>
      <c r="E68" s="2"/>
    </row>
    <row r="69" spans="2:5" ht="12.75" outlineLevel="1">
      <c r="B69" s="105"/>
      <c r="C69" s="295">
        <v>530.02</v>
      </c>
      <c r="D69" t="s">
        <v>1452</v>
      </c>
      <c r="E69" s="2" t="s">
        <v>1429</v>
      </c>
    </row>
    <row r="70" spans="2:5" ht="12.75" outlineLevel="1">
      <c r="B70" s="105"/>
      <c r="C70" s="295">
        <v>13959.1</v>
      </c>
      <c r="D70" t="s">
        <v>1440</v>
      </c>
      <c r="E70" s="188" t="s">
        <v>198</v>
      </c>
    </row>
    <row r="71" spans="2:5" ht="12.75" outlineLevel="1">
      <c r="B71" s="105"/>
      <c r="C71" s="295">
        <v>9.99</v>
      </c>
      <c r="D71" t="s">
        <v>1440</v>
      </c>
      <c r="E71" s="188" t="s">
        <v>198</v>
      </c>
    </row>
    <row r="72" spans="2:5" ht="12.75" outlineLevel="1">
      <c r="B72" s="105"/>
      <c r="C72" s="295">
        <v>10.31</v>
      </c>
      <c r="D72" t="s">
        <v>1440</v>
      </c>
      <c r="E72" s="188" t="s">
        <v>198</v>
      </c>
    </row>
    <row r="73" spans="2:5" ht="12.75" outlineLevel="1">
      <c r="B73" s="143"/>
      <c r="C73" s="319">
        <v>7330.03</v>
      </c>
      <c r="D73" t="s">
        <v>1441</v>
      </c>
      <c r="E73" s="188" t="s">
        <v>199</v>
      </c>
    </row>
    <row r="74" spans="2:5" ht="12.75" outlineLevel="1">
      <c r="B74" s="143"/>
      <c r="C74" s="317">
        <v>133.19</v>
      </c>
      <c r="D74" t="s">
        <v>1440</v>
      </c>
      <c r="E74" s="188" t="s">
        <v>198</v>
      </c>
    </row>
    <row r="75" spans="2:5" ht="12.75" outlineLevel="1">
      <c r="B75" s="143"/>
      <c r="C75" s="318">
        <v>6239.68</v>
      </c>
      <c r="D75" t="s">
        <v>1451</v>
      </c>
      <c r="E75" s="188" t="s">
        <v>199</v>
      </c>
    </row>
    <row r="76" spans="1:5" ht="12.75" outlineLevel="1">
      <c r="A76" t="s">
        <v>368</v>
      </c>
      <c r="B76" s="105">
        <f>B68+B66</f>
        <v>28212.32</v>
      </c>
      <c r="C76" s="105">
        <f>SUM(C69:C75)</f>
        <v>28212.32</v>
      </c>
      <c r="E76" s="2"/>
    </row>
    <row r="77" spans="2:5" ht="12.75">
      <c r="B77" s="105"/>
      <c r="C77" s="105"/>
      <c r="E77" s="2"/>
    </row>
    <row r="78" spans="1:5" ht="12.75">
      <c r="A78" t="s">
        <v>415</v>
      </c>
      <c r="B78" s="105">
        <f>B76+B64</f>
        <v>67309.5392</v>
      </c>
      <c r="C78" s="105"/>
      <c r="E78" s="2"/>
    </row>
    <row r="79" ht="12.75">
      <c r="B79" s="105"/>
    </row>
    <row r="81" spans="3:7" ht="12.75">
      <c r="C81" s="188" t="s">
        <v>429</v>
      </c>
      <c r="D81" s="188" t="s">
        <v>1024</v>
      </c>
      <c r="E81" s="136">
        <f>C43+C44+C58</f>
        <v>2766.9102440000497</v>
      </c>
      <c r="F81" s="136">
        <f>IF($E$7=$C$84,$C$7,0)+IF($E$8=$C$84,$C$8,0)+IF($E$11=$C$84,$C$11,0)+IF($E$12=$C$84,$C$12,0)+IF($E$15=$C$84,$C$15,0)+IF($E$16=$C$84,$C$16,0)+IF($E$17=$C$84,$C$17,0)+IF($E$18=$C$84,$C$18,0)+IF($E$19=$C$84,$C$19,0)+IF(E27=$C$84,$C$27,0)+IF($E$28=$C$84,$C$28,0)+IF($E$29=$C$84,$C$29,0)+IF($E$30=$C$84,$C$30,0)+IF($E$37=$C$84,$C$37,0)+IF($E$38=$C$84,$C$38,0)+IF($E$39=$C$84,$C$39,0)+IF($E$40=$C$84,$C$40,0)+IF($E$41=$C$84,$C$41,0)+IF($E$42=$C$84,$C$42,0)+IF($E$43=$C$84,$C$43,0)+IF($E$44=$C$84,$C$44,0)+IF($E$47=$C$84,$C$37,0)+IF($E$48=$C$84,$C$48,0)+IF($E$53=$C$84,$C$53,0)+IF($E$54=$C$84,$C$54,0)+IF($E$55=$C$84,$C$55,0)+IF($E$56=$C$84,$C$56,0)+IF($E$57=$C$84,$C$57,0)+IF($E$58=$C$84,$C$58,0)+IF($E$59=$C$84,$C$59,0)+IF($E$60=$C$84,$C$60,0)+IF($E$61=$C$84,$C$61,0)+IF($E$62=$C$84,$C$62,0)+IF($E$69=$C$84,$C$69,0)+IF($E$70=$C$84,$C$70,0)+IF($E$71=$C$84,$C$71,0)+IF($E$72=$C$84,$C$72,0)+IF($E$73=$C$84,$C$73,0)+IF($E$74=$C$84,$C$74,0)+IF($E$75=$C$84,$C$75,0)</f>
        <v>18029.31215599995</v>
      </c>
      <c r="G81">
        <v>2766.9131276791095</v>
      </c>
    </row>
    <row r="82" spans="3:7" ht="12.75">
      <c r="C82" s="188" t="s">
        <v>370</v>
      </c>
      <c r="D82" s="188" t="s">
        <v>367</v>
      </c>
      <c r="E82" s="136">
        <f>B26+B32+C61+C62</f>
        <v>1525.1252</v>
      </c>
      <c r="F82" s="136">
        <f>IF($E$7=$C$82,$C$7,0)+IF($E$8=$C$82,$C$8,0)+IF($E$11=$C$82,$C$11,0)+IF($E$12=$C$82,$C$12,0)+IF($E$15=$C$82,$C$15,0)+IF($E$16=$C$82,$C$16,0)+IF($E$17=$C$82,$C$17,0)+IF($E$18=$C$82,$C$18,0)+IF($E$19=$C$82,$C$19,0)+IF(E28=$C$82,$C$27,0)+IF($E$28=$C$82,$C$28,0)+IF($E$29=$C$82,$C$29,0)+IF($E$30=$C$82,$C$30,0)+IF($E$37=$C$82,$C$37,0)+IF($E$38=$C$82,$C$38,0)+IF($E$39=$C$82,$C$39,0)+IF($E$40=$C$82,$C$40,0)+IF($E$41=$C$82,$C$41,0)+IF($E$42=$C$82,$C$42,0)+IF($E$43=$C$82,$C$43,0)+IF($E$44=$C$82,$C$44,0)+IF($E$47=$C$82,$C$37,0)+IF($E$48=$C$82,$C$48,0)+IF($E$53=$C$82,$C$53,0)+IF($E$54=$C$82,$C$54,0)+IF($E$55=$C$82,$C$55,0)+IF($E$56=$C$82,$C$56,0)+IF($E$57=$C$82,$C$57,0)+IF($E$58=$C$82,$C$58,0)+IF($E$59=$C$82,$C$59,0)+IF($E$60=$C$82,$C$60,0)+IF($E$61=$C$82,$C$61,0)+IF($E$62=$C$82,$C$62,0)+IF($E$69=$C$82,$C$69,0)+IF($E$70=$C$82,$C$70,0)+IF($E$71=$C$82,$C$71,0)+IF($E$72=$C$82,$C$72,0)+IF($E$73=$C$82,$C$73,0)+IF($E$74=$C$82,$C$74,0)+IF($E$75=$C$82,$C$75,0)</f>
        <v>1525.1252</v>
      </c>
      <c r="G82">
        <v>1525.1252</v>
      </c>
    </row>
    <row r="83" spans="3:7" ht="12.75">
      <c r="C83" s="2" t="s">
        <v>1428</v>
      </c>
      <c r="D83" s="2" t="s">
        <v>1431</v>
      </c>
      <c r="E83" s="105">
        <f>B46+C60</f>
        <v>43.3344</v>
      </c>
      <c r="F83" s="136">
        <f aca="true" t="shared" si="1" ref="F83:F106">IF($E$7=$C$84,$C$7,0)+IF($E$8=$C$84,$C$8,0)+IF($E$11=$C$84,$C$11,0)+IF($E$12=$C$84,$C$12,0)+IF($E$15=$C$84,$C$15,0)+IF($E$16=$C$84,$C$16,0)+IF($E$17=$C$84,$C$17,0)+IF($E$18=$C$84,$C$18,0)+IF($E$19=$C$84,$C$19,0)+IF(E29=$C$84,$C$27,0)+IF($E$28=$C$84,$C$28,0)+IF($E$29=$C$84,$C$29,0)+IF($E$30=$C$84,$C$30,0)+IF($E$37=$C$84,$C$37,0)+IF($E$38=$C$84,$C$38,0)+IF($E$39=$C$84,$C$39,0)+IF($E$40=$C$84,$C$40,0)+IF($E$41=$C$84,$C$41,0)+IF($E$42=$C$84,$C$42,0)+IF($E$43=$C$84,$C$43,0)+IF($E$44=$C$84,$C$44,0)+IF($E$47=$C$84,$C$37,0)+IF($E$48=$C$84,$C$48,0)+IF($E$53=$C$84,$C$53,0)+IF($E$54=$C$84,$C$54,0)+IF($E$55=$C$84,$C$55,0)+IF($E$56=$C$84,$C$56,0)+IF($E$57=$C$84,$C$57,0)+IF($E$58=$C$84,$C$58,0)+IF($E$59=$C$84,$C$59,0)+IF($E$60=$C$84,$C$60,0)+IF($E$61=$C$84,$C$61,0)+IF($E$62=$C$84,$C$62,0)+IF($E$69=$C$84,$C$69,0)+IF($E$70=$C$84,$C$70,0)+IF($E$71=$C$84,$C$71,0)+IF($E$72=$C$84,$C$72,0)+IF($E$73=$C$84,$C$73,0)+IF($E$74=$C$84,$C$74,0)+IF($E$75=$C$84,$C$75,0)</f>
        <v>18029.31215599995</v>
      </c>
      <c r="G83">
        <v>85.88659170039634</v>
      </c>
    </row>
    <row r="84" spans="3:6" ht="12.75">
      <c r="C84" s="2" t="s">
        <v>1429</v>
      </c>
      <c r="D84" s="2" t="s">
        <v>1430</v>
      </c>
      <c r="E84" s="199">
        <f>C37+C38+C39+C40+C41+C42+C59+C69</f>
        <v>18029.31215599995</v>
      </c>
      <c r="F84" s="136">
        <f t="shared" si="1"/>
        <v>18029.31215599995</v>
      </c>
    </row>
    <row r="85" spans="3:6" ht="12.75">
      <c r="C85" s="188" t="s">
        <v>182</v>
      </c>
      <c r="D85" s="188" t="s">
        <v>855</v>
      </c>
      <c r="F85" s="136">
        <f t="shared" si="1"/>
        <v>18029.31215599995</v>
      </c>
    </row>
    <row r="86" spans="3:6" ht="12.75">
      <c r="C86" s="188" t="s">
        <v>187</v>
      </c>
      <c r="D86" s="189" t="s">
        <v>1779</v>
      </c>
      <c r="F86" s="136">
        <f t="shared" si="1"/>
        <v>18029.31215599995</v>
      </c>
    </row>
    <row r="87" spans="3:6" ht="12.75">
      <c r="C87" s="188" t="s">
        <v>189</v>
      </c>
      <c r="D87" s="106" t="s">
        <v>851</v>
      </c>
      <c r="F87" s="136">
        <f t="shared" si="1"/>
        <v>18029.31215599995</v>
      </c>
    </row>
    <row r="88" spans="3:6" ht="12.75">
      <c r="C88" s="106" t="s">
        <v>190</v>
      </c>
      <c r="D88" s="106" t="s">
        <v>852</v>
      </c>
      <c r="F88" s="136">
        <f t="shared" si="1"/>
        <v>18029.31215599995</v>
      </c>
    </row>
    <row r="89" spans="3:6" ht="12.75">
      <c r="C89" s="188" t="s">
        <v>192</v>
      </c>
      <c r="D89" s="200" t="s">
        <v>1025</v>
      </c>
      <c r="F89" s="136">
        <f t="shared" si="1"/>
        <v>18029.31215599995</v>
      </c>
    </row>
    <row r="90" spans="3:6" ht="12.75">
      <c r="C90" s="188" t="s">
        <v>193</v>
      </c>
      <c r="D90" s="200" t="s">
        <v>1026</v>
      </c>
      <c r="E90" s="136"/>
      <c r="F90" s="136">
        <f t="shared" si="1"/>
        <v>18029.31215599995</v>
      </c>
    </row>
    <row r="91" spans="3:6" ht="12.75">
      <c r="C91" s="188" t="s">
        <v>195</v>
      </c>
      <c r="D91" s="200" t="s">
        <v>1029</v>
      </c>
      <c r="F91" s="136">
        <f t="shared" si="1"/>
        <v>18189.022155999948</v>
      </c>
    </row>
    <row r="92" spans="3:6" ht="12.75">
      <c r="C92" s="188" t="s">
        <v>196</v>
      </c>
      <c r="D92" s="200" t="s">
        <v>1030</v>
      </c>
      <c r="E92" s="105"/>
      <c r="F92" s="136">
        <f t="shared" si="1"/>
        <v>18189.022155999948</v>
      </c>
    </row>
    <row r="93" spans="3:6" ht="12.75">
      <c r="C93" s="188" t="s">
        <v>198</v>
      </c>
      <c r="D93" s="200" t="s">
        <v>1099</v>
      </c>
      <c r="E93" s="136">
        <f>C70+C71+C72+C74</f>
        <v>14112.59</v>
      </c>
      <c r="F93" s="136">
        <f t="shared" si="1"/>
        <v>18189.022155999948</v>
      </c>
    </row>
    <row r="94" spans="3:7" ht="12.75">
      <c r="C94" s="188" t="s">
        <v>199</v>
      </c>
      <c r="D94" s="200" t="s">
        <v>1100</v>
      </c>
      <c r="E94" s="156">
        <f>B10+C55+C73+C75</f>
        <v>18335.2508</v>
      </c>
      <c r="F94" s="136">
        <f t="shared" si="1"/>
        <v>18189.022155999948</v>
      </c>
      <c r="G94" s="105"/>
    </row>
    <row r="95" spans="3:6" ht="12.75">
      <c r="C95" s="188" t="s">
        <v>200</v>
      </c>
      <c r="D95" s="200" t="s">
        <v>1101</v>
      </c>
      <c r="E95" s="199"/>
      <c r="F95" s="136">
        <f t="shared" si="1"/>
        <v>18189.022155999948</v>
      </c>
    </row>
    <row r="96" spans="3:6" ht="12.75">
      <c r="C96" s="188" t="s">
        <v>17</v>
      </c>
      <c r="D96" s="200" t="s">
        <v>18</v>
      </c>
      <c r="F96" s="136">
        <f t="shared" si="1"/>
        <v>18189.022155999948</v>
      </c>
    </row>
    <row r="97" spans="3:6" ht="12.75">
      <c r="C97" s="106" t="s">
        <v>60</v>
      </c>
      <c r="D97" s="106" t="s">
        <v>847</v>
      </c>
      <c r="F97" s="136">
        <f t="shared" si="1"/>
        <v>18029.31215599995</v>
      </c>
    </row>
    <row r="98" spans="3:6" ht="12.75">
      <c r="C98" s="106" t="s">
        <v>62</v>
      </c>
      <c r="D98" s="106" t="s">
        <v>848</v>
      </c>
      <c r="F98" s="136">
        <f t="shared" si="1"/>
        <v>18029.31215599995</v>
      </c>
    </row>
    <row r="99" spans="3:6" ht="12.75">
      <c r="C99" s="106" t="s">
        <v>64</v>
      </c>
      <c r="D99" s="106" t="s">
        <v>853</v>
      </c>
      <c r="F99" s="136">
        <f t="shared" si="1"/>
        <v>18029.31215599995</v>
      </c>
    </row>
    <row r="100" spans="3:6" ht="12.75">
      <c r="C100" s="188" t="s">
        <v>68</v>
      </c>
      <c r="D100" s="106" t="s">
        <v>849</v>
      </c>
      <c r="E100" s="105"/>
      <c r="F100" s="136">
        <f t="shared" si="1"/>
        <v>18029.31215599995</v>
      </c>
    </row>
    <row r="101" spans="3:6" ht="12.75">
      <c r="C101" s="188" t="s">
        <v>70</v>
      </c>
      <c r="D101" s="106" t="s">
        <v>850</v>
      </c>
      <c r="E101" s="136"/>
      <c r="F101" s="136">
        <f t="shared" si="1"/>
        <v>18029.31215599995</v>
      </c>
    </row>
    <row r="102" spans="3:6" ht="12.75">
      <c r="C102" s="188" t="s">
        <v>89</v>
      </c>
      <c r="D102" s="106" t="s">
        <v>854</v>
      </c>
      <c r="F102" s="136">
        <f t="shared" si="1"/>
        <v>18029.31215599995</v>
      </c>
    </row>
    <row r="103" spans="3:6" ht="12.75">
      <c r="C103" s="106" t="s">
        <v>124</v>
      </c>
      <c r="D103" s="106" t="s">
        <v>846</v>
      </c>
      <c r="E103" s="136">
        <f>B6+B14+C53+C54</f>
        <v>12497.0164</v>
      </c>
      <c r="F103" s="136">
        <f t="shared" si="1"/>
        <v>18029.31215599995</v>
      </c>
    </row>
    <row r="104" spans="3:6" ht="12.75">
      <c r="C104" s="106" t="s">
        <v>1033</v>
      </c>
      <c r="D104" s="106" t="s">
        <v>1102</v>
      </c>
      <c r="F104" s="136">
        <f t="shared" si="1"/>
        <v>18029.31215599995</v>
      </c>
    </row>
    <row r="105" spans="3:6" ht="12.75">
      <c r="C105" s="106" t="s">
        <v>1062</v>
      </c>
      <c r="D105" s="106" t="s">
        <v>1103</v>
      </c>
      <c r="E105" s="136"/>
      <c r="F105" s="136">
        <f t="shared" si="1"/>
        <v>18029.31215599995</v>
      </c>
    </row>
    <row r="106" spans="3:6" ht="12.75">
      <c r="C106" s="106" t="s">
        <v>1104</v>
      </c>
      <c r="D106" s="106" t="s">
        <v>1105</v>
      </c>
      <c r="E106" s="105"/>
      <c r="F106" s="136">
        <f t="shared" si="1"/>
        <v>18029.31215599995</v>
      </c>
    </row>
    <row r="107" spans="4:5" ht="12.75">
      <c r="D107" s="200" t="s">
        <v>358</v>
      </c>
      <c r="E107" s="136">
        <f>SUM(E81:E106)</f>
        <v>67309.5392</v>
      </c>
    </row>
    <row r="108" spans="4:5" ht="12.75">
      <c r="D108" s="200" t="s">
        <v>1106</v>
      </c>
      <c r="E108" s="105">
        <f>B78-E107</f>
        <v>0</v>
      </c>
    </row>
  </sheetData>
  <printOptions/>
  <pageMargins left="0.75" right="0.75" top="1" bottom="1" header="0.5" footer="0.5"/>
  <pageSetup fitToHeight="1" fitToWidth="1" horizontalDpi="600" verticalDpi="600" orientation="portrait" scale="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G93"/>
  <sheetViews>
    <sheetView workbookViewId="0" topLeftCell="A1">
      <selection activeCell="C34" sqref="C34:E34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1473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C9</f>
        <v>6065.8</v>
      </c>
    </row>
    <row r="7" spans="2:5" ht="12.75" outlineLevel="1">
      <c r="B7" s="105"/>
      <c r="C7" s="136">
        <f>3083.12+3145.23</f>
        <v>6228.35</v>
      </c>
      <c r="D7" t="s">
        <v>1475</v>
      </c>
      <c r="E7" s="2" t="s">
        <v>124</v>
      </c>
    </row>
    <row r="8" spans="2:5" ht="12.75" outlineLevel="1">
      <c r="B8" s="105"/>
      <c r="C8" s="136">
        <v>-162.55</v>
      </c>
      <c r="D8" t="s">
        <v>1474</v>
      </c>
      <c r="E8" s="2" t="s">
        <v>124</v>
      </c>
    </row>
    <row r="9" spans="2:5" ht="12.75" outlineLevel="1">
      <c r="B9" s="105"/>
      <c r="C9" s="136">
        <f>SUM(C7:C8)</f>
        <v>6065.8</v>
      </c>
      <c r="D9" t="s">
        <v>358</v>
      </c>
      <c r="E9" s="2"/>
    </row>
    <row r="10" spans="1:5" ht="12.75">
      <c r="A10" t="s">
        <v>499</v>
      </c>
      <c r="B10" s="105">
        <f>C13</f>
        <v>1346.3200000000002</v>
      </c>
      <c r="E10" s="2"/>
    </row>
    <row r="11" spans="2:5" ht="12.75" outlineLevel="1">
      <c r="B11" s="105"/>
      <c r="C11" s="136">
        <f>691.48+698.09</f>
        <v>1389.5700000000002</v>
      </c>
      <c r="D11" t="s">
        <v>1476</v>
      </c>
      <c r="E11" s="2" t="s">
        <v>199</v>
      </c>
    </row>
    <row r="12" spans="2:5" ht="12.75" outlineLevel="1">
      <c r="B12" s="105"/>
      <c r="C12" s="136">
        <v>-43.25</v>
      </c>
      <c r="D12" t="s">
        <v>1477</v>
      </c>
      <c r="E12" s="2" t="s">
        <v>199</v>
      </c>
    </row>
    <row r="13" spans="2:4" ht="12.75" outlineLevel="1">
      <c r="B13" s="105"/>
      <c r="C13" s="136">
        <f>SUM(C11:C12)</f>
        <v>1346.3200000000002</v>
      </c>
      <c r="D13" t="s">
        <v>358</v>
      </c>
    </row>
    <row r="14" spans="1:5" ht="12.75">
      <c r="A14" t="s">
        <v>1424</v>
      </c>
      <c r="B14" s="105">
        <f>C20</f>
        <v>1339.31</v>
      </c>
      <c r="E14" s="2"/>
    </row>
    <row r="15" spans="2:5" ht="12.75" outlineLevel="1">
      <c r="B15" s="105"/>
      <c r="C15" s="136">
        <v>0</v>
      </c>
      <c r="D15" t="s">
        <v>1425</v>
      </c>
      <c r="E15" s="2" t="s">
        <v>124</v>
      </c>
    </row>
    <row r="16" spans="2:5" ht="12.75" outlineLevel="1">
      <c r="B16" s="105"/>
      <c r="C16" s="136">
        <f>402.42+402.42</f>
        <v>804.84</v>
      </c>
      <c r="D16" t="s">
        <v>1478</v>
      </c>
      <c r="E16" s="2" t="s">
        <v>124</v>
      </c>
    </row>
    <row r="17" spans="2:5" ht="12.75" outlineLevel="1">
      <c r="B17" s="105"/>
      <c r="C17" s="136">
        <f>2*38.01</f>
        <v>76.02</v>
      </c>
      <c r="D17" t="s">
        <v>1479</v>
      </c>
      <c r="E17" s="2" t="s">
        <v>124</v>
      </c>
    </row>
    <row r="18" spans="2:5" ht="12.75" outlineLevel="1">
      <c r="B18" s="105"/>
      <c r="C18" s="136">
        <f>231.29+236.04-12.44</f>
        <v>454.89</v>
      </c>
      <c r="D18" t="s">
        <v>1480</v>
      </c>
      <c r="E18" s="2" t="s">
        <v>124</v>
      </c>
    </row>
    <row r="19" spans="2:5" ht="12.75" outlineLevel="1">
      <c r="B19" s="105"/>
      <c r="C19" s="136">
        <f>1.81+1.85-0.1</f>
        <v>3.56</v>
      </c>
      <c r="D19" t="s">
        <v>1481</v>
      </c>
      <c r="E19" s="2" t="s">
        <v>124</v>
      </c>
    </row>
    <row r="20" spans="2:5" ht="12.75" outlineLevel="1">
      <c r="B20" s="105"/>
      <c r="C20" s="136">
        <f>SUM(C15:C19)</f>
        <v>1339.31</v>
      </c>
      <c r="D20" t="s">
        <v>358</v>
      </c>
      <c r="E20" s="2"/>
    </row>
    <row r="21" spans="1:5" ht="12.75">
      <c r="A21" t="s">
        <v>917</v>
      </c>
      <c r="B21" s="105">
        <f>C23</f>
        <v>0</v>
      </c>
      <c r="E21" s="2"/>
    </row>
    <row r="22" spans="2:5" ht="12.75" outlineLevel="1">
      <c r="B22" s="105"/>
      <c r="C22" s="136">
        <v>0</v>
      </c>
      <c r="E22" s="2"/>
    </row>
    <row r="23" spans="2:3" ht="12.75" outlineLevel="1">
      <c r="B23" s="105"/>
      <c r="C23" s="136">
        <f>SUM(C22:C22)</f>
        <v>0</v>
      </c>
    </row>
    <row r="24" spans="1:2" ht="12.75">
      <c r="A24" t="s">
        <v>1142</v>
      </c>
      <c r="B24" s="105">
        <f>C25</f>
        <v>0</v>
      </c>
    </row>
    <row r="25" spans="2:7" ht="12.75" outlineLevel="1">
      <c r="B25" s="105"/>
      <c r="C25" s="136">
        <v>0</v>
      </c>
      <c r="E25" s="188"/>
      <c r="F25" s="106"/>
      <c r="G25" s="188"/>
    </row>
    <row r="26" spans="1:2" ht="12.75">
      <c r="A26" t="s">
        <v>1134</v>
      </c>
      <c r="B26" s="105">
        <f>C28</f>
        <v>262.82</v>
      </c>
    </row>
    <row r="27" spans="2:5" ht="12.75" outlineLevel="1">
      <c r="B27" s="105"/>
      <c r="C27" s="136">
        <v>262.82</v>
      </c>
      <c r="D27" t="s">
        <v>1416</v>
      </c>
      <c r="E27" s="188" t="s">
        <v>370</v>
      </c>
    </row>
    <row r="28" spans="2:5" ht="12.75" outlineLevel="1">
      <c r="B28" s="105"/>
      <c r="C28" s="136">
        <f>SUM(C27:C27)</f>
        <v>262.82</v>
      </c>
      <c r="D28" s="2"/>
      <c r="E28" s="2"/>
    </row>
    <row r="29" spans="1:6" s="68" customFormat="1" ht="12.75">
      <c r="A29" t="s">
        <v>504</v>
      </c>
      <c r="B29" s="156">
        <f>C30</f>
        <v>0</v>
      </c>
      <c r="C29" s="151"/>
      <c r="D29" s="2"/>
      <c r="E29" s="2"/>
      <c r="F29" s="228"/>
    </row>
    <row r="30" spans="1:6" s="68" customFormat="1" ht="12.75" outlineLevel="1">
      <c r="A30"/>
      <c r="B30" s="154"/>
      <c r="C30" s="136">
        <v>0</v>
      </c>
      <c r="D30" s="2"/>
      <c r="E30" s="2"/>
      <c r="F30" s="228"/>
    </row>
    <row r="31" spans="1:5" ht="12.75">
      <c r="A31" t="s">
        <v>1344</v>
      </c>
      <c r="B31" s="105">
        <f>C32</f>
        <v>2000</v>
      </c>
      <c r="D31" s="2"/>
      <c r="E31" s="2"/>
    </row>
    <row r="32" spans="2:6" s="68" customFormat="1" ht="12.75" outlineLevel="1">
      <c r="B32" s="154"/>
      <c r="C32" s="151">
        <v>2000</v>
      </c>
      <c r="D32" s="2" t="s">
        <v>1423</v>
      </c>
      <c r="E32" s="106" t="s">
        <v>1062</v>
      </c>
      <c r="F32" s="228"/>
    </row>
    <row r="33" spans="1:5" ht="12.75">
      <c r="A33" t="s">
        <v>885</v>
      </c>
      <c r="B33" s="105">
        <f>C35</f>
        <v>2280.93</v>
      </c>
      <c r="D33" s="2"/>
      <c r="E33" s="2"/>
    </row>
    <row r="34" spans="2:5" ht="12.75" outlineLevel="1">
      <c r="B34" s="105"/>
      <c r="C34" s="136">
        <v>2280.93</v>
      </c>
      <c r="D34" s="2" t="s">
        <v>1423</v>
      </c>
      <c r="E34" s="106" t="s">
        <v>1062</v>
      </c>
    </row>
    <row r="35" spans="2:7" s="68" customFormat="1" ht="12.75" outlineLevel="1">
      <c r="B35" s="154"/>
      <c r="C35" s="105">
        <f>SUM(C34:C34)</f>
        <v>2280.93</v>
      </c>
      <c r="D35" t="s">
        <v>1437</v>
      </c>
      <c r="E35" s="106"/>
      <c r="F35" s="300"/>
      <c r="G35" s="2"/>
    </row>
    <row r="36" spans="1:6" s="68" customFormat="1" ht="12.75">
      <c r="A36" s="2" t="s">
        <v>518</v>
      </c>
      <c r="B36" s="156">
        <f>C37</f>
        <v>0</v>
      </c>
      <c r="C36" s="136"/>
      <c r="D36"/>
      <c r="E36" s="106"/>
      <c r="F36" s="228"/>
    </row>
    <row r="37" spans="1:6" s="68" customFormat="1" ht="12.75" outlineLevel="1">
      <c r="A37" s="2"/>
      <c r="B37" s="156"/>
      <c r="C37" s="136">
        <v>0</v>
      </c>
      <c r="D37" t="s">
        <v>227</v>
      </c>
      <c r="E37" s="188" t="s">
        <v>227</v>
      </c>
      <c r="F37" s="228"/>
    </row>
    <row r="38" spans="1:5" ht="12.75">
      <c r="A38" t="s">
        <v>439</v>
      </c>
      <c r="B38" s="105">
        <f>SUM(B6:B37)</f>
        <v>13295.18</v>
      </c>
      <c r="E38" s="2"/>
    </row>
    <row r="39" spans="2:5" ht="12.75">
      <c r="B39" s="105"/>
      <c r="E39" s="2"/>
    </row>
    <row r="40" spans="1:5" ht="12.75">
      <c r="A40" t="s">
        <v>507</v>
      </c>
      <c r="B40" s="105">
        <f>C50</f>
        <v>6381.686399999999</v>
      </c>
      <c r="E40" s="2"/>
    </row>
    <row r="41" spans="2:5" ht="12.75" outlineLevel="1">
      <c r="B41" s="105"/>
      <c r="C41" s="136">
        <f>$B$4*B6</f>
        <v>2911.584</v>
      </c>
      <c r="D41" t="s">
        <v>591</v>
      </c>
      <c r="E41" s="2" t="s">
        <v>124</v>
      </c>
    </row>
    <row r="42" spans="2:6" ht="12.75" outlineLevel="1">
      <c r="B42" s="105"/>
      <c r="C42" s="136">
        <f>$B$4*B10</f>
        <v>646.2336</v>
      </c>
      <c r="D42" t="s">
        <v>499</v>
      </c>
      <c r="E42" s="2" t="s">
        <v>199</v>
      </c>
      <c r="F42" s="136">
        <f>C41+C42</f>
        <v>3557.8176</v>
      </c>
    </row>
    <row r="43" spans="2:5" ht="12.75" outlineLevel="1">
      <c r="B43" s="105"/>
      <c r="C43" s="136">
        <f>$B$4*B14</f>
        <v>642.8688</v>
      </c>
      <c r="D43" t="s">
        <v>1438</v>
      </c>
      <c r="E43" s="2" t="s">
        <v>124</v>
      </c>
    </row>
    <row r="44" spans="2:5" ht="12.75" outlineLevel="1">
      <c r="B44" s="105"/>
      <c r="C44" s="136">
        <f>$B$4*B21</f>
        <v>0</v>
      </c>
      <c r="D44" t="s">
        <v>917</v>
      </c>
      <c r="E44" s="2"/>
    </row>
    <row r="45" spans="2:5" ht="12.75" outlineLevel="1">
      <c r="B45" s="105"/>
      <c r="C45" s="136">
        <f>$B$4*B33</f>
        <v>1094.8464</v>
      </c>
      <c r="D45" t="s">
        <v>885</v>
      </c>
      <c r="E45" s="106" t="s">
        <v>1062</v>
      </c>
    </row>
    <row r="46" spans="2:5" ht="12.75" outlineLevel="1">
      <c r="B46" s="105"/>
      <c r="C46" s="136">
        <f>$B$4*B31</f>
        <v>960</v>
      </c>
      <c r="D46" t="s">
        <v>1344</v>
      </c>
      <c r="E46" s="106" t="s">
        <v>1062</v>
      </c>
    </row>
    <row r="47" spans="2:5" ht="12.75" outlineLevel="1">
      <c r="B47" s="105"/>
      <c r="C47" s="136">
        <f>$B$4*B36</f>
        <v>0</v>
      </c>
      <c r="D47" s="2" t="s">
        <v>518</v>
      </c>
      <c r="E47" s="2"/>
    </row>
    <row r="48" spans="2:5" ht="12.75" outlineLevel="1">
      <c r="B48" s="105"/>
      <c r="C48" s="136">
        <f>$B$4*B26</f>
        <v>126.1536</v>
      </c>
      <c r="D48" t="s">
        <v>1134</v>
      </c>
      <c r="E48" s="2" t="s">
        <v>370</v>
      </c>
    </row>
    <row r="49" spans="2:5" ht="12.75" outlineLevel="1">
      <c r="B49" s="105"/>
      <c r="C49" s="136">
        <f>$B$4*B29</f>
        <v>0</v>
      </c>
      <c r="D49" t="s">
        <v>504</v>
      </c>
      <c r="E49" s="2"/>
    </row>
    <row r="50" spans="2:4" ht="12.75" outlineLevel="1">
      <c r="B50" s="105"/>
      <c r="C50" s="136">
        <f>SUM(C41:C49)</f>
        <v>6381.686399999999</v>
      </c>
      <c r="D50" t="s">
        <v>237</v>
      </c>
    </row>
    <row r="51" spans="1:2" ht="12.75">
      <c r="A51" t="s">
        <v>509</v>
      </c>
      <c r="B51" s="105">
        <f>B38+B40</f>
        <v>19676.8664</v>
      </c>
    </row>
    <row r="52" ht="12.75">
      <c r="B52" s="105"/>
    </row>
    <row r="53" spans="1:2" ht="12.75">
      <c r="A53" t="s">
        <v>1206</v>
      </c>
      <c r="B53" s="105">
        <f>C54</f>
        <v>0</v>
      </c>
    </row>
    <row r="54" spans="2:5" ht="12.75" outlineLevel="1">
      <c r="B54" s="105"/>
      <c r="C54" s="136">
        <v>0</v>
      </c>
      <c r="E54" s="188"/>
    </row>
    <row r="55" spans="1:5" ht="12.75">
      <c r="A55" t="s">
        <v>594</v>
      </c>
      <c r="B55" s="105">
        <f>C61</f>
        <v>13920.94</v>
      </c>
      <c r="E55" s="2"/>
    </row>
    <row r="56" spans="2:5" ht="12.75" outlineLevel="1">
      <c r="B56" s="105"/>
      <c r="C56" s="136">
        <v>72</v>
      </c>
      <c r="D56" t="s">
        <v>1482</v>
      </c>
      <c r="E56" s="2" t="s">
        <v>1429</v>
      </c>
    </row>
    <row r="57" spans="2:5" ht="12.75" outlineLevel="1">
      <c r="B57" s="105"/>
      <c r="C57" s="136">
        <v>54.19</v>
      </c>
      <c r="D57" t="s">
        <v>1440</v>
      </c>
      <c r="E57" s="188" t="s">
        <v>198</v>
      </c>
    </row>
    <row r="58" spans="2:5" ht="12.75" outlineLevel="1">
      <c r="B58" s="105"/>
      <c r="C58" s="136">
        <v>29.08</v>
      </c>
      <c r="D58" t="s">
        <v>1440</v>
      </c>
      <c r="E58" s="188" t="s">
        <v>198</v>
      </c>
    </row>
    <row r="59" spans="2:5" ht="12.75" outlineLevel="1">
      <c r="B59" s="105"/>
      <c r="C59" s="136">
        <v>7683.25</v>
      </c>
      <c r="D59" t="s">
        <v>1483</v>
      </c>
      <c r="E59" s="188" t="s">
        <v>198</v>
      </c>
    </row>
    <row r="60" spans="2:5" ht="12.75" outlineLevel="1">
      <c r="B60" s="143"/>
      <c r="C60" s="269">
        <v>6082.42</v>
      </c>
      <c r="D60" t="s">
        <v>1455</v>
      </c>
      <c r="E60" s="188" t="s">
        <v>199</v>
      </c>
    </row>
    <row r="61" spans="1:5" ht="12.75" outlineLevel="1">
      <c r="A61" t="s">
        <v>368</v>
      </c>
      <c r="B61" s="105">
        <f>B55+B53</f>
        <v>13920.94</v>
      </c>
      <c r="C61" s="105">
        <f>SUM(C56:C60)</f>
        <v>13920.94</v>
      </c>
      <c r="E61" s="2"/>
    </row>
    <row r="62" spans="2:5" ht="12.75">
      <c r="B62" s="105"/>
      <c r="C62" s="105"/>
      <c r="E62" s="2"/>
    </row>
    <row r="63" spans="1:5" ht="12.75">
      <c r="A63" t="s">
        <v>415</v>
      </c>
      <c r="B63" s="105">
        <f>B61+B51</f>
        <v>33597.8064</v>
      </c>
      <c r="C63" s="105"/>
      <c r="E63" s="2"/>
    </row>
    <row r="64" ht="12.75">
      <c r="B64" s="105"/>
    </row>
    <row r="66" spans="3:5" ht="12.75">
      <c r="C66" s="188" t="s">
        <v>429</v>
      </c>
      <c r="D66" s="188" t="s">
        <v>1024</v>
      </c>
      <c r="E66" s="136"/>
    </row>
    <row r="67" spans="3:5" ht="12.75">
      <c r="C67" s="188" t="s">
        <v>370</v>
      </c>
      <c r="D67" s="188" t="s">
        <v>367</v>
      </c>
      <c r="E67" s="136">
        <f>B26+B29+C48+C49</f>
        <v>388.9736</v>
      </c>
    </row>
    <row r="68" spans="3:6" ht="12.75">
      <c r="C68" s="2" t="s">
        <v>1428</v>
      </c>
      <c r="D68" s="2" t="s">
        <v>1431</v>
      </c>
      <c r="E68" s="105">
        <f>B36+C47</f>
        <v>0</v>
      </c>
      <c r="F68" s="105"/>
    </row>
    <row r="69" spans="3:5" ht="12.75">
      <c r="C69" s="2" t="s">
        <v>1429</v>
      </c>
      <c r="D69" s="2" t="s">
        <v>1430</v>
      </c>
      <c r="E69" s="199"/>
    </row>
    <row r="70" spans="3:4" ht="12.75">
      <c r="C70" s="188" t="s">
        <v>182</v>
      </c>
      <c r="D70" s="188" t="s">
        <v>855</v>
      </c>
    </row>
    <row r="71" spans="3:4" ht="12.75">
      <c r="C71" s="188" t="s">
        <v>187</v>
      </c>
      <c r="D71" s="189" t="s">
        <v>1779</v>
      </c>
    </row>
    <row r="72" spans="3:4" ht="12.75">
      <c r="C72" s="188" t="s">
        <v>189</v>
      </c>
      <c r="D72" s="106" t="s">
        <v>851</v>
      </c>
    </row>
    <row r="73" spans="3:4" ht="12.75">
      <c r="C73" s="106" t="s">
        <v>190</v>
      </c>
      <c r="D73" s="106" t="s">
        <v>852</v>
      </c>
    </row>
    <row r="74" spans="3:4" ht="12.75">
      <c r="C74" s="188" t="s">
        <v>192</v>
      </c>
      <c r="D74" s="200" t="s">
        <v>1025</v>
      </c>
    </row>
    <row r="75" spans="3:5" ht="12.75">
      <c r="C75" s="188" t="s">
        <v>193</v>
      </c>
      <c r="D75" s="200" t="s">
        <v>1026</v>
      </c>
      <c r="E75" s="136"/>
    </row>
    <row r="76" spans="3:4" ht="12.75">
      <c r="C76" s="188" t="s">
        <v>195</v>
      </c>
      <c r="D76" s="200" t="s">
        <v>1029</v>
      </c>
    </row>
    <row r="77" spans="3:5" ht="12.75">
      <c r="C77" s="188" t="s">
        <v>196</v>
      </c>
      <c r="D77" s="200" t="s">
        <v>1030</v>
      </c>
      <c r="E77" s="105"/>
    </row>
    <row r="78" spans="3:5" ht="12.75">
      <c r="C78" s="188" t="s">
        <v>198</v>
      </c>
      <c r="D78" s="200" t="s">
        <v>1099</v>
      </c>
      <c r="E78" s="136">
        <f>C57+C58</f>
        <v>83.27</v>
      </c>
    </row>
    <row r="79" spans="3:7" ht="12.75">
      <c r="C79" s="188" t="s">
        <v>199</v>
      </c>
      <c r="D79" s="200" t="s">
        <v>1100</v>
      </c>
      <c r="E79" s="136">
        <f>C56+C59+C60+B10+C42</f>
        <v>15830.2236</v>
      </c>
      <c r="F79" s="105"/>
      <c r="G79" s="105"/>
    </row>
    <row r="80" spans="3:5" ht="12.75">
      <c r="C80" s="188" t="s">
        <v>200</v>
      </c>
      <c r="D80" s="200" t="s">
        <v>1101</v>
      </c>
      <c r="E80" s="199"/>
    </row>
    <row r="81" spans="3:4" ht="12.75">
      <c r="C81" s="188" t="s">
        <v>17</v>
      </c>
      <c r="D81" s="200" t="s">
        <v>18</v>
      </c>
    </row>
    <row r="82" spans="3:4" ht="12.75">
      <c r="C82" s="106" t="s">
        <v>60</v>
      </c>
      <c r="D82" s="106" t="s">
        <v>847</v>
      </c>
    </row>
    <row r="83" spans="3:4" ht="12.75">
      <c r="C83" s="106" t="s">
        <v>62</v>
      </c>
      <c r="D83" s="106" t="s">
        <v>848</v>
      </c>
    </row>
    <row r="84" spans="3:4" ht="12.75">
      <c r="C84" s="106" t="s">
        <v>64</v>
      </c>
      <c r="D84" s="106" t="s">
        <v>853</v>
      </c>
    </row>
    <row r="85" spans="3:5" ht="12.75">
      <c r="C85" s="188" t="s">
        <v>68</v>
      </c>
      <c r="D85" s="106" t="s">
        <v>849</v>
      </c>
      <c r="E85" s="105"/>
    </row>
    <row r="86" spans="3:5" ht="12.75">
      <c r="C86" s="188" t="s">
        <v>70</v>
      </c>
      <c r="D86" s="106" t="s">
        <v>850</v>
      </c>
      <c r="E86" s="136"/>
    </row>
    <row r="87" spans="3:4" ht="12.75">
      <c r="C87" s="188" t="s">
        <v>89</v>
      </c>
      <c r="D87" s="106" t="s">
        <v>854</v>
      </c>
    </row>
    <row r="88" spans="3:5" ht="12.75">
      <c r="C88" s="106" t="s">
        <v>124</v>
      </c>
      <c r="D88" s="106" t="s">
        <v>846</v>
      </c>
      <c r="E88" s="136">
        <f>B6+B14+C41+C43</f>
        <v>10959.5628</v>
      </c>
    </row>
    <row r="89" spans="3:4" ht="12.75">
      <c r="C89" s="106" t="s">
        <v>1033</v>
      </c>
      <c r="D89" s="106" t="s">
        <v>1102</v>
      </c>
    </row>
    <row r="90" spans="3:5" ht="12.75">
      <c r="C90" s="106" t="s">
        <v>1062</v>
      </c>
      <c r="D90" s="106" t="s">
        <v>1103</v>
      </c>
      <c r="E90" s="136">
        <f>B31+B33+C45+C46</f>
        <v>6335.776400000001</v>
      </c>
    </row>
    <row r="91" spans="3:5" ht="12.75">
      <c r="C91" s="106" t="s">
        <v>1104</v>
      </c>
      <c r="D91" s="106" t="s">
        <v>1105</v>
      </c>
      <c r="E91" s="105"/>
    </row>
    <row r="92" spans="4:5" ht="12.75">
      <c r="D92" s="200" t="s">
        <v>358</v>
      </c>
      <c r="E92" s="136">
        <f>SUM(E66:E91)</f>
        <v>33597.8064</v>
      </c>
    </row>
    <row r="93" spans="4:5" ht="12.75">
      <c r="D93" s="200" t="s">
        <v>1106</v>
      </c>
      <c r="E93" s="105">
        <f>B63-E92</f>
        <v>0</v>
      </c>
    </row>
  </sheetData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outlinePr summaryBelow="0" summaryRight="0"/>
    <pageSetUpPr fitToPage="1"/>
  </sheetPr>
  <dimension ref="A2:G96"/>
  <sheetViews>
    <sheetView workbookViewId="0" topLeftCell="A25">
      <selection activeCell="D31" sqref="D31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1456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C8</f>
        <v>6290.46</v>
      </c>
    </row>
    <row r="7" spans="2:5" ht="12.75" outlineLevel="1">
      <c r="B7" s="105"/>
      <c r="C7" s="136">
        <f>2*3145.23</f>
        <v>6290.46</v>
      </c>
      <c r="D7" t="s">
        <v>1457</v>
      </c>
      <c r="E7" s="2" t="s">
        <v>124</v>
      </c>
    </row>
    <row r="8" spans="2:5" ht="12.75" outlineLevel="1">
      <c r="B8" s="105"/>
      <c r="C8" s="136">
        <f>SUM(C7:C7)</f>
        <v>6290.46</v>
      </c>
      <c r="D8" t="s">
        <v>358</v>
      </c>
      <c r="E8" s="2"/>
    </row>
    <row r="9" spans="1:5" ht="12.75">
      <c r="A9" t="s">
        <v>499</v>
      </c>
      <c r="B9" s="105">
        <f>C11</f>
        <v>1396.18</v>
      </c>
      <c r="E9" s="2"/>
    </row>
    <row r="10" spans="2:5" ht="12.75" outlineLevel="1">
      <c r="B10" s="105"/>
      <c r="C10" s="136">
        <f>2*698.09</f>
        <v>1396.18</v>
      </c>
      <c r="D10" t="s">
        <v>1458</v>
      </c>
      <c r="E10" s="2" t="s">
        <v>199</v>
      </c>
    </row>
    <row r="11" spans="2:4" ht="12.75" outlineLevel="1">
      <c r="B11" s="105"/>
      <c r="C11" s="136">
        <f>SUM(C10:C10)</f>
        <v>1396.18</v>
      </c>
      <c r="D11" t="s">
        <v>358</v>
      </c>
    </row>
    <row r="12" spans="1:5" ht="12.75">
      <c r="A12" t="s">
        <v>1424</v>
      </c>
      <c r="B12" s="105">
        <f>C17</f>
        <v>1356.64</v>
      </c>
      <c r="E12" s="2"/>
    </row>
    <row r="13" spans="2:5" ht="12.75" outlineLevel="1">
      <c r="B13" s="105"/>
      <c r="C13" s="136">
        <f>402.42+402.42</f>
        <v>804.84</v>
      </c>
      <c r="D13" t="s">
        <v>1459</v>
      </c>
      <c r="E13" s="2" t="s">
        <v>124</v>
      </c>
    </row>
    <row r="14" spans="2:5" ht="12.75" outlineLevel="1">
      <c r="B14" s="105"/>
      <c r="C14" s="136">
        <f>2*38.01</f>
        <v>76.02</v>
      </c>
      <c r="D14" t="s">
        <v>1460</v>
      </c>
      <c r="E14" s="2" t="s">
        <v>124</v>
      </c>
    </row>
    <row r="15" spans="2:5" ht="12.75" outlineLevel="1">
      <c r="B15" s="105"/>
      <c r="C15" s="136">
        <f>2*236.04</f>
        <v>472.08</v>
      </c>
      <c r="D15" t="s">
        <v>1461</v>
      </c>
      <c r="E15" s="2" t="s">
        <v>124</v>
      </c>
    </row>
    <row r="16" spans="2:5" ht="12.75" outlineLevel="1">
      <c r="B16" s="105"/>
      <c r="C16" s="136">
        <f>2*1.85</f>
        <v>3.7</v>
      </c>
      <c r="D16" t="s">
        <v>1462</v>
      </c>
      <c r="E16" s="2" t="s">
        <v>124</v>
      </c>
    </row>
    <row r="17" spans="2:6" ht="12.75" outlineLevel="1">
      <c r="B17" s="105"/>
      <c r="C17" s="136">
        <f>SUM(C13:C16)</f>
        <v>1356.64</v>
      </c>
      <c r="D17" t="s">
        <v>358</v>
      </c>
      <c r="E17" s="2"/>
      <c r="F17" s="227">
        <f>B6+B9+B12</f>
        <v>9043.28</v>
      </c>
    </row>
    <row r="18" spans="1:5" ht="12.75">
      <c r="A18" t="s">
        <v>917</v>
      </c>
      <c r="B18" s="105">
        <f>C20</f>
        <v>0</v>
      </c>
      <c r="E18" s="2"/>
    </row>
    <row r="19" spans="2:5" ht="12.75" outlineLevel="1">
      <c r="B19" s="105"/>
      <c r="C19" s="136">
        <v>0</v>
      </c>
      <c r="E19" s="2"/>
    </row>
    <row r="20" spans="2:3" ht="12.75" outlineLevel="1">
      <c r="B20" s="105"/>
      <c r="C20" s="136">
        <f>SUM(C19:C19)</f>
        <v>0</v>
      </c>
    </row>
    <row r="21" spans="1:2" ht="12.75">
      <c r="A21" t="s">
        <v>1142</v>
      </c>
      <c r="B21" s="105">
        <f>C22</f>
        <v>0</v>
      </c>
    </row>
    <row r="22" spans="2:7" ht="12.75" outlineLevel="1">
      <c r="B22" s="105"/>
      <c r="C22" s="136">
        <v>0</v>
      </c>
      <c r="E22" s="188"/>
      <c r="F22" s="106"/>
      <c r="G22" s="188"/>
    </row>
    <row r="23" spans="1:2" ht="12.75">
      <c r="A23" t="s">
        <v>1134</v>
      </c>
      <c r="B23" s="105">
        <f>C25</f>
        <v>0</v>
      </c>
    </row>
    <row r="24" spans="2:5" ht="12.75" outlineLevel="1">
      <c r="B24" s="105"/>
      <c r="E24" s="188"/>
    </row>
    <row r="25" spans="2:5" ht="12.75" outlineLevel="1">
      <c r="B25" s="105"/>
      <c r="C25" s="136">
        <f>SUM(C24:C24)</f>
        <v>0</v>
      </c>
      <c r="E25" s="2"/>
    </row>
    <row r="26" spans="1:6" s="68" customFormat="1" ht="12.75">
      <c r="A26" t="s">
        <v>504</v>
      </c>
      <c r="B26" s="156">
        <f>C29</f>
        <v>297.95</v>
      </c>
      <c r="C26" s="151"/>
      <c r="D26" s="2"/>
      <c r="E26" s="2" t="s">
        <v>370</v>
      </c>
      <c r="F26" s="228"/>
    </row>
    <row r="27" spans="1:6" s="68" customFormat="1" ht="12.75" outlineLevel="1">
      <c r="A27"/>
      <c r="B27" s="156"/>
      <c r="C27" s="151">
        <v>273.95</v>
      </c>
      <c r="D27" s="2" t="s">
        <v>1463</v>
      </c>
      <c r="E27" s="2"/>
      <c r="F27" s="228"/>
    </row>
    <row r="28" spans="1:6" s="68" customFormat="1" ht="12.75" outlineLevel="1">
      <c r="A28"/>
      <c r="B28" s="156"/>
      <c r="C28" s="151">
        <v>24</v>
      </c>
      <c r="D28" s="2" t="s">
        <v>1092</v>
      </c>
      <c r="E28" s="2"/>
      <c r="F28" s="228"/>
    </row>
    <row r="29" spans="1:6" s="68" customFormat="1" ht="12.75" outlineLevel="1">
      <c r="A29"/>
      <c r="B29" s="154"/>
      <c r="C29" s="151">
        <f>SUM(C27:C28)</f>
        <v>297.95</v>
      </c>
      <c r="E29" s="2"/>
      <c r="F29" s="228"/>
    </row>
    <row r="30" spans="1:6" s="68" customFormat="1" ht="12.75">
      <c r="A30" t="s">
        <v>1464</v>
      </c>
      <c r="B30" s="156">
        <f>C31</f>
        <v>885.75</v>
      </c>
      <c r="C30" s="151"/>
      <c r="D30" s="2"/>
      <c r="E30" s="2"/>
      <c r="F30" s="228"/>
    </row>
    <row r="31" spans="1:6" s="68" customFormat="1" ht="12.75" outlineLevel="1">
      <c r="A31"/>
      <c r="B31" s="156"/>
      <c r="C31" s="156">
        <v>885.75</v>
      </c>
      <c r="D31" s="2" t="s">
        <v>1465</v>
      </c>
      <c r="E31" s="2" t="s">
        <v>1428</v>
      </c>
      <c r="F31" s="228"/>
    </row>
    <row r="32" spans="1:5" ht="12.75">
      <c r="A32" t="s">
        <v>1344</v>
      </c>
      <c r="B32" s="105">
        <f>C33</f>
        <v>0</v>
      </c>
      <c r="E32" s="2"/>
    </row>
    <row r="33" spans="2:6" s="68" customFormat="1" ht="12.75" outlineLevel="1">
      <c r="B33" s="154"/>
      <c r="C33" s="136"/>
      <c r="D33"/>
      <c r="E33" s="188"/>
      <c r="F33" s="228"/>
    </row>
    <row r="34" spans="1:5" ht="12.75">
      <c r="A34" t="s">
        <v>885</v>
      </c>
      <c r="B34" s="105">
        <f>C35</f>
        <v>2438.1</v>
      </c>
      <c r="E34" s="2"/>
    </row>
    <row r="35" spans="2:5" ht="12.75" outlineLevel="1">
      <c r="B35" s="105"/>
      <c r="C35" s="136">
        <v>2438.1</v>
      </c>
      <c r="D35" t="s">
        <v>1468</v>
      </c>
      <c r="E35" s="2" t="s">
        <v>1429</v>
      </c>
    </row>
    <row r="36" spans="1:6" s="68" customFormat="1" ht="12.75">
      <c r="A36" s="2" t="s">
        <v>518</v>
      </c>
      <c r="B36" s="156">
        <f>C37</f>
        <v>66.45</v>
      </c>
      <c r="C36" s="136"/>
      <c r="D36"/>
      <c r="E36" s="106"/>
      <c r="F36" s="228"/>
    </row>
    <row r="37" spans="1:6" s="68" customFormat="1" ht="12.75" outlineLevel="1">
      <c r="A37" s="2"/>
      <c r="B37" s="156"/>
      <c r="C37" s="136">
        <v>66.45</v>
      </c>
      <c r="D37" t="s">
        <v>1466</v>
      </c>
      <c r="E37" s="2" t="s">
        <v>1428</v>
      </c>
      <c r="F37" s="228"/>
    </row>
    <row r="38" spans="1:5" ht="12.75">
      <c r="A38" t="s">
        <v>439</v>
      </c>
      <c r="B38" s="105">
        <f>SUM(B6:B37)</f>
        <v>12731.530000000002</v>
      </c>
      <c r="E38" s="2"/>
    </row>
    <row r="39" spans="2:5" ht="12.75">
      <c r="B39" s="105"/>
      <c r="E39" s="2"/>
    </row>
    <row r="40" spans="1:5" ht="12.75">
      <c r="A40" t="s">
        <v>507</v>
      </c>
      <c r="B40" s="105">
        <f>C52</f>
        <v>4940.846399999999</v>
      </c>
      <c r="E40" s="2"/>
    </row>
    <row r="41" spans="2:5" ht="12.75">
      <c r="B41" s="105"/>
      <c r="C41" s="136">
        <f>B6*$B$4</f>
        <v>3019.4208</v>
      </c>
      <c r="D41" t="s">
        <v>591</v>
      </c>
      <c r="E41" s="2" t="s">
        <v>124</v>
      </c>
    </row>
    <row r="42" spans="2:5" ht="12.75">
      <c r="B42" s="105"/>
      <c r="C42" s="136">
        <f>B9*$B$4</f>
        <v>670.1664</v>
      </c>
      <c r="D42" t="s">
        <v>499</v>
      </c>
      <c r="E42" s="2" t="s">
        <v>199</v>
      </c>
    </row>
    <row r="43" spans="2:5" ht="12.75" outlineLevel="1">
      <c r="B43" s="105"/>
      <c r="C43" s="136">
        <f>$B$4*(B12-C16)</f>
        <v>649.4112</v>
      </c>
      <c r="D43" t="s">
        <v>1470</v>
      </c>
      <c r="E43" s="2" t="s">
        <v>124</v>
      </c>
    </row>
    <row r="44" spans="2:5" ht="12.75" outlineLevel="1">
      <c r="B44" s="105"/>
      <c r="C44" s="136">
        <f>$B$4*C16</f>
        <v>1.776</v>
      </c>
      <c r="D44" t="s">
        <v>1469</v>
      </c>
      <c r="E44" s="2" t="s">
        <v>124</v>
      </c>
    </row>
    <row r="45" spans="2:5" ht="12.75" outlineLevel="1">
      <c r="B45" s="105"/>
      <c r="C45" s="136">
        <f>$B$4*B18</f>
        <v>0</v>
      </c>
      <c r="D45" t="s">
        <v>917</v>
      </c>
      <c r="E45" s="2"/>
    </row>
    <row r="46" spans="2:5" ht="12.75" outlineLevel="1">
      <c r="B46" s="105"/>
      <c r="C46" s="136">
        <f>$B$4*B32</f>
        <v>0</v>
      </c>
      <c r="D46" t="s">
        <v>1453</v>
      </c>
      <c r="E46" s="188"/>
    </row>
    <row r="47" spans="2:6" ht="12.75" outlineLevel="1">
      <c r="B47" s="105"/>
      <c r="C47" s="136">
        <f>$B$4*B33</f>
        <v>0</v>
      </c>
      <c r="D47" t="s">
        <v>1454</v>
      </c>
      <c r="E47" s="2"/>
      <c r="F47" s="129"/>
    </row>
    <row r="48" spans="2:6" ht="12.75" outlineLevel="1">
      <c r="B48" s="105"/>
      <c r="C48" s="136">
        <f>$B$4*B30</f>
        <v>425.15999999999997</v>
      </c>
      <c r="D48" t="s">
        <v>1467</v>
      </c>
      <c r="E48" s="2" t="s">
        <v>1428</v>
      </c>
      <c r="F48" s="129"/>
    </row>
    <row r="49" spans="2:5" ht="12.75" outlineLevel="1">
      <c r="B49" s="105"/>
      <c r="C49" s="136">
        <f>$B$4*B36</f>
        <v>31.896</v>
      </c>
      <c r="D49" s="2" t="s">
        <v>518</v>
      </c>
      <c r="E49" s="2" t="s">
        <v>1428</v>
      </c>
    </row>
    <row r="50" spans="2:4" ht="12.75" outlineLevel="1">
      <c r="B50" s="105"/>
      <c r="C50" s="136">
        <f>$B$4*B23</f>
        <v>0</v>
      </c>
      <c r="D50" t="s">
        <v>1134</v>
      </c>
    </row>
    <row r="51" spans="2:5" ht="12.75" outlineLevel="1">
      <c r="B51" s="105"/>
      <c r="C51" s="136">
        <f>$B$4*B26</f>
        <v>143.016</v>
      </c>
      <c r="D51" t="s">
        <v>504</v>
      </c>
      <c r="E51" s="2" t="s">
        <v>370</v>
      </c>
    </row>
    <row r="52" spans="2:4" ht="12.75" outlineLevel="1">
      <c r="B52" s="105"/>
      <c r="C52" s="136">
        <f>SUM(C41:C51)</f>
        <v>4940.846399999999</v>
      </c>
      <c r="D52" t="s">
        <v>237</v>
      </c>
    </row>
    <row r="53" spans="1:2" ht="12.75">
      <c r="A53" t="s">
        <v>509</v>
      </c>
      <c r="B53" s="105">
        <f>B38+B40</f>
        <v>17672.3764</v>
      </c>
    </row>
    <row r="54" ht="12.75">
      <c r="B54" s="105"/>
    </row>
    <row r="55" spans="1:2" ht="12.75">
      <c r="A55" t="s">
        <v>1206</v>
      </c>
      <c r="B55" s="105">
        <f>C56</f>
        <v>0</v>
      </c>
    </row>
    <row r="56" spans="2:5" ht="12.75" outlineLevel="1">
      <c r="B56" s="105"/>
      <c r="C56" s="136">
        <v>0</v>
      </c>
      <c r="E56" s="188"/>
    </row>
    <row r="57" spans="1:5" ht="12.75">
      <c r="A57" t="s">
        <v>594</v>
      </c>
      <c r="B57" s="105">
        <f>C64</f>
        <v>30436.71</v>
      </c>
      <c r="E57" s="2"/>
    </row>
    <row r="58" spans="2:5" ht="12.75" outlineLevel="1">
      <c r="B58" s="105"/>
      <c r="C58" s="136">
        <v>420</v>
      </c>
      <c r="D58" t="s">
        <v>1471</v>
      </c>
      <c r="E58" s="188" t="s">
        <v>199</v>
      </c>
    </row>
    <row r="59" spans="2:5" ht="12.75" outlineLevel="1">
      <c r="B59" s="105"/>
      <c r="C59" s="136">
        <v>5457.41</v>
      </c>
      <c r="D59" t="s">
        <v>1472</v>
      </c>
      <c r="E59" s="188" t="s">
        <v>199</v>
      </c>
    </row>
    <row r="60" spans="2:5" ht="12.75" outlineLevel="1">
      <c r="B60" s="105"/>
      <c r="C60" s="136">
        <v>3624.5</v>
      </c>
      <c r="D60" t="s">
        <v>1455</v>
      </c>
      <c r="E60" s="188" t="s">
        <v>199</v>
      </c>
    </row>
    <row r="61" spans="2:5" ht="12.75" outlineLevel="1">
      <c r="B61" s="105"/>
      <c r="C61" s="136">
        <v>7218.8</v>
      </c>
      <c r="D61" t="s">
        <v>1440</v>
      </c>
      <c r="E61" s="188" t="s">
        <v>198</v>
      </c>
    </row>
    <row r="62" spans="2:5" ht="12.75" outlineLevel="1">
      <c r="B62" s="105"/>
      <c r="C62" s="136">
        <v>7556.24</v>
      </c>
      <c r="D62" t="s">
        <v>1440</v>
      </c>
      <c r="E62" s="188" t="s">
        <v>198</v>
      </c>
    </row>
    <row r="63" spans="2:5" ht="12.75" outlineLevel="1">
      <c r="B63" s="143"/>
      <c r="C63" s="269">
        <v>6159.76</v>
      </c>
      <c r="D63" t="s">
        <v>1441</v>
      </c>
      <c r="E63" s="188" t="s">
        <v>199</v>
      </c>
    </row>
    <row r="64" spans="1:5" ht="12.75" outlineLevel="1">
      <c r="A64" t="s">
        <v>368</v>
      </c>
      <c r="B64" s="105">
        <f>B57+B55</f>
        <v>30436.71</v>
      </c>
      <c r="C64" s="105">
        <f>SUM(C58:C63)</f>
        <v>30436.71</v>
      </c>
      <c r="E64" s="2"/>
    </row>
    <row r="65" spans="2:5" ht="12.75">
      <c r="B65" s="105"/>
      <c r="C65" s="105"/>
      <c r="E65" s="2"/>
    </row>
    <row r="66" spans="1:5" ht="12.75">
      <c r="A66" t="s">
        <v>415</v>
      </c>
      <c r="B66" s="105">
        <f>B64+B53</f>
        <v>48109.0864</v>
      </c>
      <c r="C66" s="105"/>
      <c r="E66" s="2"/>
    </row>
    <row r="67" ht="12.75">
      <c r="B67" s="105"/>
    </row>
    <row r="69" spans="3:5" ht="12.75">
      <c r="C69" s="188" t="s">
        <v>429</v>
      </c>
      <c r="D69" s="188" t="s">
        <v>1024</v>
      </c>
      <c r="E69" s="136"/>
    </row>
    <row r="70" spans="3:5" ht="12.75">
      <c r="C70" s="188" t="s">
        <v>370</v>
      </c>
      <c r="D70" s="188" t="s">
        <v>367</v>
      </c>
      <c r="E70" s="136">
        <f>B23+B26+C50+C51</f>
        <v>440.966</v>
      </c>
    </row>
    <row r="71" spans="3:6" ht="12.75">
      <c r="C71" s="2" t="s">
        <v>1428</v>
      </c>
      <c r="D71" s="2" t="s">
        <v>1431</v>
      </c>
      <c r="E71" s="105">
        <f>B30+C48+B36+C49</f>
        <v>1409.2559999999999</v>
      </c>
      <c r="F71" s="105"/>
    </row>
    <row r="72" spans="3:5" ht="12.75">
      <c r="C72" s="2" t="s">
        <v>1429</v>
      </c>
      <c r="D72" s="2" t="s">
        <v>1430</v>
      </c>
      <c r="E72" s="199">
        <f>B34</f>
        <v>2438.1</v>
      </c>
    </row>
    <row r="73" spans="3:4" ht="12.75">
      <c r="C73" s="188" t="s">
        <v>182</v>
      </c>
      <c r="D73" s="188" t="s">
        <v>855</v>
      </c>
    </row>
    <row r="74" spans="3:4" ht="12.75">
      <c r="C74" s="188" t="s">
        <v>187</v>
      </c>
      <c r="D74" s="189" t="s">
        <v>1779</v>
      </c>
    </row>
    <row r="75" spans="3:4" ht="12.75">
      <c r="C75" s="188" t="s">
        <v>189</v>
      </c>
      <c r="D75" s="106" t="s">
        <v>851</v>
      </c>
    </row>
    <row r="76" spans="3:4" ht="12.75">
      <c r="C76" s="106" t="s">
        <v>190</v>
      </c>
      <c r="D76" s="106" t="s">
        <v>852</v>
      </c>
    </row>
    <row r="77" spans="3:4" ht="12.75">
      <c r="C77" s="188" t="s">
        <v>192</v>
      </c>
      <c r="D77" s="200" t="s">
        <v>1025</v>
      </c>
    </row>
    <row r="78" spans="3:5" ht="12.75">
      <c r="C78" s="188" t="s">
        <v>193</v>
      </c>
      <c r="D78" s="200" t="s">
        <v>1026</v>
      </c>
      <c r="E78" s="136"/>
    </row>
    <row r="79" spans="3:4" ht="12.75">
      <c r="C79" s="188" t="s">
        <v>195</v>
      </c>
      <c r="D79" s="200" t="s">
        <v>1029</v>
      </c>
    </row>
    <row r="80" spans="3:5" ht="12.75">
      <c r="C80" s="188" t="s">
        <v>196</v>
      </c>
      <c r="D80" s="200" t="s">
        <v>1030</v>
      </c>
      <c r="E80" s="105"/>
    </row>
    <row r="81" spans="3:5" ht="12.75">
      <c r="C81" s="188" t="s">
        <v>198</v>
      </c>
      <c r="D81" s="200" t="s">
        <v>1099</v>
      </c>
      <c r="E81" s="105">
        <f>C61+C62</f>
        <v>14775.04</v>
      </c>
    </row>
    <row r="82" spans="3:7" ht="12.75">
      <c r="C82" s="188" t="s">
        <v>199</v>
      </c>
      <c r="D82" s="200" t="s">
        <v>1100</v>
      </c>
      <c r="E82" s="105">
        <f>B9+C42+C58+C59+C60+C63</f>
        <v>17728.0164</v>
      </c>
      <c r="F82" s="105"/>
      <c r="G82" s="105"/>
    </row>
    <row r="83" spans="3:5" ht="12.75">
      <c r="C83" s="188" t="s">
        <v>200</v>
      </c>
      <c r="D83" s="200" t="s">
        <v>1101</v>
      </c>
      <c r="E83" s="199"/>
    </row>
    <row r="84" spans="3:4" ht="12.75">
      <c r="C84" s="188" t="s">
        <v>17</v>
      </c>
      <c r="D84" s="200" t="s">
        <v>18</v>
      </c>
    </row>
    <row r="85" spans="3:4" ht="12.75">
      <c r="C85" s="106" t="s">
        <v>60</v>
      </c>
      <c r="D85" s="106" t="s">
        <v>847</v>
      </c>
    </row>
    <row r="86" spans="3:4" ht="12.75">
      <c r="C86" s="106" t="s">
        <v>62</v>
      </c>
      <c r="D86" s="106" t="s">
        <v>848</v>
      </c>
    </row>
    <row r="87" spans="3:4" ht="12.75">
      <c r="C87" s="106" t="s">
        <v>64</v>
      </c>
      <c r="D87" s="106" t="s">
        <v>853</v>
      </c>
    </row>
    <row r="88" spans="3:5" ht="12.75">
      <c r="C88" s="188" t="s">
        <v>68</v>
      </c>
      <c r="D88" s="106" t="s">
        <v>849</v>
      </c>
      <c r="E88" s="105"/>
    </row>
    <row r="89" spans="3:5" ht="12.75">
      <c r="C89" s="188" t="s">
        <v>70</v>
      </c>
      <c r="D89" s="106" t="s">
        <v>850</v>
      </c>
      <c r="E89" s="136"/>
    </row>
    <row r="90" spans="3:4" ht="12.75">
      <c r="C90" s="188" t="s">
        <v>89</v>
      </c>
      <c r="D90" s="106" t="s">
        <v>854</v>
      </c>
    </row>
    <row r="91" spans="3:5" ht="12.75">
      <c r="C91" s="106" t="s">
        <v>124</v>
      </c>
      <c r="D91" s="106" t="s">
        <v>846</v>
      </c>
      <c r="E91" s="136">
        <f>B6+B12+C41+C43+C44</f>
        <v>11317.708</v>
      </c>
    </row>
    <row r="92" spans="3:4" ht="12.75">
      <c r="C92" s="106" t="s">
        <v>1033</v>
      </c>
      <c r="D92" s="106" t="s">
        <v>1102</v>
      </c>
    </row>
    <row r="93" spans="3:5" ht="12.75">
      <c r="C93" s="106" t="s">
        <v>1062</v>
      </c>
      <c r="D93" s="106" t="s">
        <v>1103</v>
      </c>
      <c r="E93" s="136"/>
    </row>
    <row r="94" spans="3:5" ht="12.75">
      <c r="C94" s="106" t="s">
        <v>1104</v>
      </c>
      <c r="D94" s="106" t="s">
        <v>1105</v>
      </c>
      <c r="E94" s="105"/>
    </row>
    <row r="95" spans="4:5" ht="12.75">
      <c r="D95" s="200" t="s">
        <v>358</v>
      </c>
      <c r="E95" s="136">
        <f>SUM(E69:E94)</f>
        <v>48109.0864</v>
      </c>
    </row>
    <row r="96" spans="4:5" ht="12.75">
      <c r="D96" s="200" t="s">
        <v>1106</v>
      </c>
      <c r="E96" s="105">
        <f>B66-E95</f>
        <v>0</v>
      </c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101"/>
  <sheetViews>
    <sheetView workbookViewId="0" topLeftCell="A25">
      <selection activeCell="C43" sqref="C43:E43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929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6" s="2" customFormat="1" ht="12.75">
      <c r="A6" s="2" t="s">
        <v>591</v>
      </c>
      <c r="B6" s="151">
        <f>C8</f>
        <v>6290.46</v>
      </c>
      <c r="C6" s="151"/>
      <c r="E6" s="2" t="s">
        <v>124</v>
      </c>
      <c r="F6" s="300"/>
    </row>
    <row r="7" spans="2:6" s="2" customFormat="1" ht="12.75" outlineLevel="1">
      <c r="B7" s="156"/>
      <c r="C7" s="151">
        <f>2*3145.23</f>
        <v>6290.46</v>
      </c>
      <c r="D7" s="2" t="s">
        <v>930</v>
      </c>
      <c r="F7" s="300"/>
    </row>
    <row r="8" spans="2:6" s="2" customFormat="1" ht="12.75" outlineLevel="1">
      <c r="B8" s="156"/>
      <c r="C8" s="151">
        <f>SUM(C7:C7)</f>
        <v>6290.46</v>
      </c>
      <c r="D8" s="2" t="s">
        <v>358</v>
      </c>
      <c r="F8" s="300"/>
    </row>
    <row r="9" spans="1:6" s="2" customFormat="1" ht="12.75">
      <c r="A9" s="2" t="s">
        <v>499</v>
      </c>
      <c r="B9" s="156">
        <f>C11</f>
        <v>1396.18</v>
      </c>
      <c r="C9" s="151"/>
      <c r="E9" s="2" t="s">
        <v>199</v>
      </c>
      <c r="F9" s="300"/>
    </row>
    <row r="10" spans="2:6" s="2" customFormat="1" ht="12.75" outlineLevel="1">
      <c r="B10" s="156"/>
      <c r="C10" s="151">
        <f>2*698.09</f>
        <v>1396.18</v>
      </c>
      <c r="D10" s="2" t="s">
        <v>931</v>
      </c>
      <c r="F10" s="300"/>
    </row>
    <row r="11" spans="2:6" s="2" customFormat="1" ht="12.75" outlineLevel="1">
      <c r="B11" s="156"/>
      <c r="C11" s="151">
        <f>SUM(C10:C10)</f>
        <v>1396.18</v>
      </c>
      <c r="D11" s="2" t="s">
        <v>358</v>
      </c>
      <c r="F11" s="300"/>
    </row>
    <row r="12" spans="1:6" s="2" customFormat="1" ht="12.75">
      <c r="A12" s="2" t="s">
        <v>1424</v>
      </c>
      <c r="B12" s="156">
        <f>C18</f>
        <v>1949.43</v>
      </c>
      <c r="C12" s="151"/>
      <c r="E12" s="2" t="s">
        <v>124</v>
      </c>
      <c r="F12" s="300"/>
    </row>
    <row r="13" spans="2:6" s="2" customFormat="1" ht="12.75" outlineLevel="1">
      <c r="B13" s="156"/>
      <c r="C13" s="151">
        <f>2*297.25</f>
        <v>594.5</v>
      </c>
      <c r="D13" s="2" t="s">
        <v>932</v>
      </c>
      <c r="F13" s="300"/>
    </row>
    <row r="14" spans="2:6" s="2" customFormat="1" ht="12.75" outlineLevel="1">
      <c r="B14" s="156"/>
      <c r="C14" s="151">
        <f>402.42+402.42</f>
        <v>804.84</v>
      </c>
      <c r="D14" s="2" t="s">
        <v>933</v>
      </c>
      <c r="F14" s="300"/>
    </row>
    <row r="15" spans="2:6" s="2" customFormat="1" ht="12.75" outlineLevel="1">
      <c r="B15" s="156"/>
      <c r="C15" s="151">
        <f>2*38.01</f>
        <v>76.02</v>
      </c>
      <c r="D15" s="2" t="s">
        <v>934</v>
      </c>
      <c r="F15" s="300"/>
    </row>
    <row r="16" spans="2:6" s="2" customFormat="1" ht="12.75" outlineLevel="1">
      <c r="B16" s="156"/>
      <c r="C16" s="151">
        <f>235.2+235.19</f>
        <v>470.39</v>
      </c>
      <c r="D16" s="2" t="s">
        <v>935</v>
      </c>
      <c r="F16" s="300"/>
    </row>
    <row r="17" spans="2:6" s="2" customFormat="1" ht="12.75" outlineLevel="1">
      <c r="B17" s="156"/>
      <c r="C17" s="151">
        <f>2*1.84</f>
        <v>3.68</v>
      </c>
      <c r="D17" s="2" t="s">
        <v>936</v>
      </c>
      <c r="F17" s="300"/>
    </row>
    <row r="18" spans="2:6" s="2" customFormat="1" ht="12.75" outlineLevel="1">
      <c r="B18" s="156"/>
      <c r="C18" s="151">
        <f>SUM(C13:C17)</f>
        <v>1949.43</v>
      </c>
      <c r="D18" s="2" t="s">
        <v>358</v>
      </c>
      <c r="F18" s="300"/>
    </row>
    <row r="19" spans="1:6" s="2" customFormat="1" ht="12.75">
      <c r="A19" s="2" t="s">
        <v>917</v>
      </c>
      <c r="B19" s="156">
        <f>C21</f>
        <v>0</v>
      </c>
      <c r="C19" s="151"/>
      <c r="F19" s="300"/>
    </row>
    <row r="20" spans="2:6" s="2" customFormat="1" ht="12.75" outlineLevel="1">
      <c r="B20" s="156"/>
      <c r="C20" s="151">
        <v>0</v>
      </c>
      <c r="F20" s="300"/>
    </row>
    <row r="21" spans="2:6" s="2" customFormat="1" ht="12.75" outlineLevel="1">
      <c r="B21" s="156"/>
      <c r="C21" s="151">
        <f>SUM(C20:C20)</f>
        <v>0</v>
      </c>
      <c r="F21" s="300"/>
    </row>
    <row r="22" spans="1:6" s="2" customFormat="1" ht="12.75">
      <c r="A22" s="2" t="s">
        <v>1142</v>
      </c>
      <c r="B22" s="156">
        <f>C25</f>
        <v>3949</v>
      </c>
      <c r="C22" s="151"/>
      <c r="E22" s="2" t="s">
        <v>199</v>
      </c>
      <c r="F22" s="300"/>
    </row>
    <row r="23" spans="2:6" s="2" customFormat="1" ht="12.75">
      <c r="B23" s="156"/>
      <c r="C23" s="151">
        <v>1204</v>
      </c>
      <c r="D23" s="2" t="s">
        <v>937</v>
      </c>
      <c r="F23" s="300"/>
    </row>
    <row r="24" spans="2:6" s="2" customFormat="1" ht="12.75">
      <c r="B24" s="156"/>
      <c r="C24" s="151">
        <v>2745</v>
      </c>
      <c r="D24" s="2" t="s">
        <v>938</v>
      </c>
      <c r="F24" s="300"/>
    </row>
    <row r="25" spans="2:7" s="2" customFormat="1" ht="12.75" outlineLevel="1">
      <c r="B25" s="156"/>
      <c r="C25" s="151">
        <f>SUM(C23:C24)</f>
        <v>3949</v>
      </c>
      <c r="E25" s="188"/>
      <c r="F25" s="188"/>
      <c r="G25" s="188"/>
    </row>
    <row r="26" spans="1:6" s="2" customFormat="1" ht="12.75">
      <c r="A26" s="2" t="s">
        <v>1134</v>
      </c>
      <c r="B26" s="156">
        <f>C28</f>
        <v>0</v>
      </c>
      <c r="C26" s="151"/>
      <c r="F26" s="300"/>
    </row>
    <row r="27" spans="2:6" s="2" customFormat="1" ht="12.75" outlineLevel="1">
      <c r="B27" s="156"/>
      <c r="C27" s="151"/>
      <c r="F27" s="300"/>
    </row>
    <row r="28" spans="2:6" s="2" customFormat="1" ht="12.75" outlineLevel="1">
      <c r="B28" s="156"/>
      <c r="C28" s="151">
        <f>SUM(C27:C27)</f>
        <v>0</v>
      </c>
      <c r="F28" s="300"/>
    </row>
    <row r="29" spans="1:6" s="68" customFormat="1" ht="12.75">
      <c r="A29" s="2" t="s">
        <v>504</v>
      </c>
      <c r="B29" s="156">
        <f>C31</f>
        <v>1968.08</v>
      </c>
      <c r="C29" s="151"/>
      <c r="D29" s="2"/>
      <c r="E29" s="2" t="s">
        <v>370</v>
      </c>
      <c r="F29" s="228"/>
    </row>
    <row r="30" spans="1:6" s="68" customFormat="1" ht="12.75" outlineLevel="1">
      <c r="A30" s="2"/>
      <c r="B30" s="156"/>
      <c r="C30" s="151">
        <v>1968.08</v>
      </c>
      <c r="D30" s="2" t="s">
        <v>939</v>
      </c>
      <c r="F30" s="228"/>
    </row>
    <row r="31" spans="1:6" s="68" customFormat="1" ht="12.75" outlineLevel="1">
      <c r="A31" s="2"/>
      <c r="B31" s="154"/>
      <c r="C31" s="151">
        <f>SUM(C30:C30)</f>
        <v>1968.08</v>
      </c>
      <c r="E31" s="2"/>
      <c r="F31" s="228"/>
    </row>
    <row r="32" spans="1:6" s="2" customFormat="1" ht="12.75">
      <c r="A32" s="2" t="s">
        <v>1344</v>
      </c>
      <c r="B32" s="156">
        <f>C33</f>
        <v>0</v>
      </c>
      <c r="C32" s="151"/>
      <c r="F32" s="300"/>
    </row>
    <row r="33" spans="2:6" s="68" customFormat="1" ht="12.75" outlineLevel="1">
      <c r="B33" s="154"/>
      <c r="C33" s="151"/>
      <c r="D33" s="2"/>
      <c r="E33" s="188"/>
      <c r="F33" s="228"/>
    </row>
    <row r="34" spans="1:6" s="2" customFormat="1" ht="12.75">
      <c r="A34" s="2" t="s">
        <v>885</v>
      </c>
      <c r="B34" s="156">
        <f>C37</f>
        <v>5071.07</v>
      </c>
      <c r="C34" s="151"/>
      <c r="F34" s="300"/>
    </row>
    <row r="35" spans="2:6" s="2" customFormat="1" ht="12.75" outlineLevel="1">
      <c r="B35" s="156"/>
      <c r="C35" s="151">
        <v>2894.645107</v>
      </c>
      <c r="D35" s="2" t="s">
        <v>943</v>
      </c>
      <c r="E35" s="2" t="s">
        <v>1429</v>
      </c>
      <c r="F35" s="300"/>
    </row>
    <row r="36" spans="2:6" s="2" customFormat="1" ht="12.75" outlineLevel="1">
      <c r="B36" s="156"/>
      <c r="C36" s="151">
        <v>2176.424893</v>
      </c>
      <c r="D36" s="2" t="s">
        <v>1423</v>
      </c>
      <c r="E36" s="188" t="s">
        <v>1062</v>
      </c>
      <c r="F36" s="300"/>
    </row>
    <row r="37" spans="2:6" s="2" customFormat="1" ht="12.75" outlineLevel="1">
      <c r="B37" s="156"/>
      <c r="C37" s="151">
        <f>SUM(C35:C36)</f>
        <v>5071.07</v>
      </c>
      <c r="D37" s="2" t="s">
        <v>941</v>
      </c>
      <c r="F37" s="300"/>
    </row>
    <row r="38" spans="1:6" s="68" customFormat="1" ht="12.75">
      <c r="A38" s="2" t="s">
        <v>518</v>
      </c>
      <c r="B38" s="156">
        <f>C41</f>
        <v>-29.28</v>
      </c>
      <c r="C38" s="151"/>
      <c r="D38" s="2"/>
      <c r="E38" s="2" t="s">
        <v>1428</v>
      </c>
      <c r="F38" s="228"/>
    </row>
    <row r="39" spans="1:6" s="68" customFormat="1" ht="12.75" outlineLevel="1">
      <c r="A39" s="2"/>
      <c r="B39" s="156"/>
      <c r="C39" s="151">
        <v>-16.65</v>
      </c>
      <c r="D39" s="2" t="s">
        <v>940</v>
      </c>
      <c r="F39" s="228"/>
    </row>
    <row r="40" spans="1:6" s="68" customFormat="1" ht="12.75" outlineLevel="1">
      <c r="A40" s="2"/>
      <c r="B40" s="156"/>
      <c r="C40" s="151">
        <v>-12.63</v>
      </c>
      <c r="D40" s="2" t="s">
        <v>940</v>
      </c>
      <c r="E40" s="2"/>
      <c r="F40" s="228"/>
    </row>
    <row r="41" spans="1:6" s="68" customFormat="1" ht="12.75" outlineLevel="1">
      <c r="A41" s="2"/>
      <c r="B41" s="156"/>
      <c r="C41" s="151">
        <f>SUM(C39:C40)</f>
        <v>-29.28</v>
      </c>
      <c r="D41" s="2"/>
      <c r="E41" s="2"/>
      <c r="F41" s="228"/>
    </row>
    <row r="42" spans="1:6" s="68" customFormat="1" ht="12.75">
      <c r="A42" s="2" t="s">
        <v>1182</v>
      </c>
      <c r="B42" s="156">
        <f>C43</f>
        <v>1701.75</v>
      </c>
      <c r="C42" s="151"/>
      <c r="D42" s="2"/>
      <c r="F42" s="228"/>
    </row>
    <row r="43" spans="1:6" s="68" customFormat="1" ht="12.75" outlineLevel="1">
      <c r="A43" s="2"/>
      <c r="B43" s="156"/>
      <c r="C43" s="151">
        <v>1701.75</v>
      </c>
      <c r="D43" s="2" t="s">
        <v>942</v>
      </c>
      <c r="E43" s="2" t="s">
        <v>1428</v>
      </c>
      <c r="F43" s="228"/>
    </row>
    <row r="44" spans="1:6" s="68" customFormat="1" ht="12.75">
      <c r="A44" s="2"/>
      <c r="B44" s="156"/>
      <c r="C44" s="151"/>
      <c r="D44" s="2"/>
      <c r="E44" s="2"/>
      <c r="F44" s="228"/>
    </row>
    <row r="45" spans="1:6" s="2" customFormat="1" ht="12.75">
      <c r="A45" s="2" t="s">
        <v>439</v>
      </c>
      <c r="B45" s="156">
        <f>SUM(B6:B42)</f>
        <v>22296.690000000002</v>
      </c>
      <c r="C45" s="151"/>
      <c r="F45" s="300"/>
    </row>
    <row r="46" spans="2:6" s="2" customFormat="1" ht="12.75">
      <c r="B46" s="156"/>
      <c r="C46" s="151"/>
      <c r="F46" s="300"/>
    </row>
    <row r="47" spans="1:6" s="2" customFormat="1" ht="12.75">
      <c r="A47" s="2" t="s">
        <v>507</v>
      </c>
      <c r="B47" s="156">
        <f>C59</f>
        <v>8806.8912</v>
      </c>
      <c r="C47" s="151"/>
      <c r="F47" s="300"/>
    </row>
    <row r="48" spans="2:6" s="2" customFormat="1" ht="12.75" outlineLevel="1">
      <c r="B48" s="156"/>
      <c r="C48" s="151">
        <f>B6*$B$4</f>
        <v>3019.4208</v>
      </c>
      <c r="D48" s="2" t="s">
        <v>591</v>
      </c>
      <c r="E48" s="2" t="s">
        <v>124</v>
      </c>
      <c r="F48" s="300"/>
    </row>
    <row r="49" spans="2:6" s="2" customFormat="1" ht="12.75" outlineLevel="1">
      <c r="B49" s="156"/>
      <c r="C49" s="493">
        <f>B9*$B$4</f>
        <v>670.1664</v>
      </c>
      <c r="D49" s="2" t="s">
        <v>499</v>
      </c>
      <c r="E49" s="2" t="s">
        <v>199</v>
      </c>
      <c r="F49" s="300"/>
    </row>
    <row r="50" spans="2:6" s="3" customFormat="1" ht="12.75" outlineLevel="1">
      <c r="B50" s="494"/>
      <c r="C50" s="493">
        <f>$B$4*(B12-C17)</f>
        <v>933.9599999999999</v>
      </c>
      <c r="D50" s="3" t="s">
        <v>1470</v>
      </c>
      <c r="E50" s="3" t="s">
        <v>124</v>
      </c>
      <c r="F50" s="495"/>
    </row>
    <row r="51" spans="2:6" s="3" customFormat="1" ht="12.75" outlineLevel="1">
      <c r="B51" s="494"/>
      <c r="C51" s="493">
        <f>$B$4*C17</f>
        <v>1.7664</v>
      </c>
      <c r="D51" s="3" t="s">
        <v>1469</v>
      </c>
      <c r="E51" s="3" t="s">
        <v>124</v>
      </c>
      <c r="F51" s="495"/>
    </row>
    <row r="52" spans="2:6" s="3" customFormat="1" ht="12.75" outlineLevel="1">
      <c r="B52" s="494"/>
      <c r="C52" s="493">
        <f>$B$4*B19</f>
        <v>0</v>
      </c>
      <c r="D52" s="3" t="s">
        <v>917</v>
      </c>
      <c r="F52" s="495"/>
    </row>
    <row r="53" spans="2:6" s="3" customFormat="1" ht="12.75" outlineLevel="1">
      <c r="B53" s="494"/>
      <c r="C53" s="493">
        <f>$B$4*B32</f>
        <v>0</v>
      </c>
      <c r="D53" s="3" t="s">
        <v>1453</v>
      </c>
      <c r="E53" s="189"/>
      <c r="F53" s="495"/>
    </row>
    <row r="54" spans="2:6" s="3" customFormat="1" ht="12.75" outlineLevel="1">
      <c r="B54" s="494"/>
      <c r="C54" s="493">
        <f>$B$4*B34</f>
        <v>2434.1135999999997</v>
      </c>
      <c r="D54" s="3" t="s">
        <v>1454</v>
      </c>
      <c r="E54" s="3" t="s">
        <v>1429</v>
      </c>
      <c r="F54" s="496"/>
    </row>
    <row r="55" spans="2:6" s="3" customFormat="1" ht="12.75" outlineLevel="1">
      <c r="B55" s="494"/>
      <c r="C55" s="493">
        <f>$B$4*B42</f>
        <v>816.8399999999999</v>
      </c>
      <c r="D55" s="3" t="s">
        <v>1467</v>
      </c>
      <c r="E55" s="3" t="s">
        <v>1428</v>
      </c>
      <c r="F55" s="496"/>
    </row>
    <row r="56" spans="2:6" s="3" customFormat="1" ht="12.75" outlineLevel="1">
      <c r="B56" s="494"/>
      <c r="C56" s="493">
        <f>$B$4*B38</f>
        <v>-14.0544</v>
      </c>
      <c r="D56" s="3" t="s">
        <v>518</v>
      </c>
      <c r="E56" s="3" t="s">
        <v>1428</v>
      </c>
      <c r="F56" s="495"/>
    </row>
    <row r="57" spans="2:6" s="3" customFormat="1" ht="12.75" outlineLevel="1">
      <c r="B57" s="494"/>
      <c r="C57" s="493">
        <f>$B$4*B26</f>
        <v>0</v>
      </c>
      <c r="D57" s="3" t="s">
        <v>1134</v>
      </c>
      <c r="F57" s="495"/>
    </row>
    <row r="58" spans="2:6" s="3" customFormat="1" ht="12.75" outlineLevel="1">
      <c r="B58" s="494"/>
      <c r="C58" s="493">
        <f>$B$4*B29</f>
        <v>944.6783999999999</v>
      </c>
      <c r="D58" s="3" t="s">
        <v>504</v>
      </c>
      <c r="E58" s="3" t="s">
        <v>370</v>
      </c>
      <c r="F58" s="495"/>
    </row>
    <row r="59" spans="2:6" s="3" customFormat="1" ht="12.75" outlineLevel="1">
      <c r="B59" s="494"/>
      <c r="C59" s="493">
        <f>SUM(C48:C58)</f>
        <v>8806.8912</v>
      </c>
      <c r="D59" s="3" t="s">
        <v>237</v>
      </c>
      <c r="F59" s="495"/>
    </row>
    <row r="60" spans="1:6" s="2" customFormat="1" ht="12.75">
      <c r="A60" s="2" t="s">
        <v>509</v>
      </c>
      <c r="B60" s="156">
        <f>B45+B47</f>
        <v>31103.5812</v>
      </c>
      <c r="C60" s="151"/>
      <c r="F60" s="300"/>
    </row>
    <row r="61" spans="2:6" s="2" customFormat="1" ht="12.75">
      <c r="B61" s="156"/>
      <c r="C61" s="151"/>
      <c r="F61" s="300"/>
    </row>
    <row r="62" spans="1:6" s="2" customFormat="1" ht="12.75">
      <c r="A62" s="2" t="s">
        <v>1206</v>
      </c>
      <c r="B62" s="156">
        <f>C63</f>
        <v>0</v>
      </c>
      <c r="C62" s="151"/>
      <c r="F62" s="300"/>
    </row>
    <row r="63" spans="2:6" s="2" customFormat="1" ht="12.75" outlineLevel="1">
      <c r="B63" s="156"/>
      <c r="C63" s="151">
        <v>0</v>
      </c>
      <c r="E63" s="188"/>
      <c r="F63" s="300"/>
    </row>
    <row r="64" spans="1:6" s="2" customFormat="1" ht="12.75">
      <c r="A64" s="2" t="s">
        <v>594</v>
      </c>
      <c r="B64" s="156">
        <f>C69</f>
        <v>21554.3</v>
      </c>
      <c r="C64" s="151"/>
      <c r="F64" s="300"/>
    </row>
    <row r="65" spans="2:6" s="2" customFormat="1" ht="12.75" outlineLevel="1">
      <c r="B65" s="156"/>
      <c r="C65" s="151">
        <v>6507.2</v>
      </c>
      <c r="D65" s="2" t="s">
        <v>945</v>
      </c>
      <c r="E65" s="188" t="s">
        <v>199</v>
      </c>
      <c r="F65" s="300"/>
    </row>
    <row r="66" spans="2:6" s="2" customFormat="1" ht="12.75" outlineLevel="1">
      <c r="B66" s="156"/>
      <c r="C66" s="151">
        <v>6661.99</v>
      </c>
      <c r="D66" s="2" t="s">
        <v>944</v>
      </c>
      <c r="E66" s="188" t="s">
        <v>199</v>
      </c>
      <c r="F66" s="300"/>
    </row>
    <row r="67" spans="2:6" s="2" customFormat="1" ht="12.75" outlineLevel="1">
      <c r="B67" s="156"/>
      <c r="C67" s="497">
        <v>2481.48</v>
      </c>
      <c r="D67" s="2" t="s">
        <v>946</v>
      </c>
      <c r="E67" s="2" t="s">
        <v>1429</v>
      </c>
      <c r="F67" s="300"/>
    </row>
    <row r="68" spans="2:6" s="2" customFormat="1" ht="12.75" outlineLevel="1">
      <c r="B68" s="156"/>
      <c r="C68" s="151">
        <v>5903.63</v>
      </c>
      <c r="D68" s="2" t="s">
        <v>1440</v>
      </c>
      <c r="E68" s="188" t="s">
        <v>198</v>
      </c>
      <c r="F68" s="300"/>
    </row>
    <row r="69" spans="1:6" s="2" customFormat="1" ht="12.75" outlineLevel="1">
      <c r="A69" s="2" t="s">
        <v>368</v>
      </c>
      <c r="B69" s="156">
        <f>B64+B62</f>
        <v>21554.3</v>
      </c>
      <c r="C69" s="156">
        <f>SUM(C65:C68)</f>
        <v>21554.3</v>
      </c>
      <c r="F69" s="300"/>
    </row>
    <row r="70" spans="2:6" s="2" customFormat="1" ht="12.75">
      <c r="B70" s="156"/>
      <c r="C70" s="156"/>
      <c r="F70" s="300"/>
    </row>
    <row r="71" spans="1:5" ht="12.75">
      <c r="A71" t="s">
        <v>415</v>
      </c>
      <c r="B71" s="105">
        <f>B69+B60</f>
        <v>52657.8812</v>
      </c>
      <c r="C71" s="105"/>
      <c r="E71" s="2"/>
    </row>
    <row r="72" ht="12.75">
      <c r="B72" s="105"/>
    </row>
    <row r="74" spans="3:5" ht="12.75">
      <c r="C74" s="188" t="s">
        <v>429</v>
      </c>
      <c r="D74" s="188" t="s">
        <v>1024</v>
      </c>
      <c r="E74" s="136"/>
    </row>
    <row r="75" spans="3:5" ht="12.75">
      <c r="C75" s="188" t="s">
        <v>370</v>
      </c>
      <c r="D75" s="188" t="s">
        <v>367</v>
      </c>
      <c r="E75" s="136">
        <f>B26+B29+C57+C58</f>
        <v>2912.7583999999997</v>
      </c>
    </row>
    <row r="76" spans="3:6" ht="12.75">
      <c r="C76" s="2" t="s">
        <v>1428</v>
      </c>
      <c r="D76" s="2" t="s">
        <v>1431</v>
      </c>
      <c r="E76" s="105">
        <f>C55+B38+C56+B42</f>
        <v>2475.2556</v>
      </c>
      <c r="F76" s="105"/>
    </row>
    <row r="77" spans="3:5" ht="12.75">
      <c r="C77" s="2" t="s">
        <v>1429</v>
      </c>
      <c r="D77" s="2" t="s">
        <v>1430</v>
      </c>
      <c r="E77" s="199">
        <f>C35+C54+C67</f>
        <v>7810.238706999999</v>
      </c>
    </row>
    <row r="78" spans="3:4" ht="12.75">
      <c r="C78" s="188" t="s">
        <v>182</v>
      </c>
      <c r="D78" s="188" t="s">
        <v>855</v>
      </c>
    </row>
    <row r="79" spans="3:4" ht="12.75">
      <c r="C79" s="188" t="s">
        <v>187</v>
      </c>
      <c r="D79" s="189" t="s">
        <v>1779</v>
      </c>
    </row>
    <row r="80" spans="3:4" ht="12.75">
      <c r="C80" s="188" t="s">
        <v>189</v>
      </c>
      <c r="D80" s="106" t="s">
        <v>851</v>
      </c>
    </row>
    <row r="81" spans="3:4" ht="12.75">
      <c r="C81" s="106" t="s">
        <v>190</v>
      </c>
      <c r="D81" s="106" t="s">
        <v>852</v>
      </c>
    </row>
    <row r="82" spans="3:4" ht="12.75">
      <c r="C82" s="188" t="s">
        <v>192</v>
      </c>
      <c r="D82" s="200" t="s">
        <v>1025</v>
      </c>
    </row>
    <row r="83" spans="3:5" ht="12.75">
      <c r="C83" s="188" t="s">
        <v>193</v>
      </c>
      <c r="D83" s="200" t="s">
        <v>1026</v>
      </c>
      <c r="E83" s="136"/>
    </row>
    <row r="84" spans="3:4" ht="12.75">
      <c r="C84" s="188" t="s">
        <v>195</v>
      </c>
      <c r="D84" s="200" t="s">
        <v>1029</v>
      </c>
    </row>
    <row r="85" spans="3:5" ht="12.75">
      <c r="C85" s="188" t="s">
        <v>196</v>
      </c>
      <c r="D85" s="200" t="s">
        <v>1030</v>
      </c>
      <c r="E85" s="105"/>
    </row>
    <row r="86" spans="3:5" ht="12.75">
      <c r="C86" s="188" t="s">
        <v>198</v>
      </c>
      <c r="D86" s="200" t="s">
        <v>1099</v>
      </c>
      <c r="E86" s="105">
        <f>C68</f>
        <v>5903.63</v>
      </c>
    </row>
    <row r="87" spans="3:7" ht="12.75">
      <c r="C87" s="188" t="s">
        <v>199</v>
      </c>
      <c r="D87" s="200" t="s">
        <v>1100</v>
      </c>
      <c r="E87" s="105">
        <f>B9+C49+C65+C66+B22</f>
        <v>19184.536399999997</v>
      </c>
      <c r="F87" s="105"/>
      <c r="G87" s="105"/>
    </row>
    <row r="88" spans="3:5" ht="12.75">
      <c r="C88" s="188" t="s">
        <v>200</v>
      </c>
      <c r="D88" s="200" t="s">
        <v>1101</v>
      </c>
      <c r="E88" s="199"/>
    </row>
    <row r="89" spans="3:4" ht="12.75">
      <c r="C89" s="188" t="s">
        <v>17</v>
      </c>
      <c r="D89" s="200" t="s">
        <v>18</v>
      </c>
    </row>
    <row r="90" spans="3:4" ht="12.75">
      <c r="C90" s="106" t="s">
        <v>60</v>
      </c>
      <c r="D90" s="106" t="s">
        <v>847</v>
      </c>
    </row>
    <row r="91" spans="3:4" ht="12.75">
      <c r="C91" s="106" t="s">
        <v>62</v>
      </c>
      <c r="D91" s="106" t="s">
        <v>848</v>
      </c>
    </row>
    <row r="92" spans="3:4" ht="12.75">
      <c r="C92" s="106" t="s">
        <v>64</v>
      </c>
      <c r="D92" s="106" t="s">
        <v>853</v>
      </c>
    </row>
    <row r="93" spans="3:5" ht="12.75">
      <c r="C93" s="188" t="s">
        <v>68</v>
      </c>
      <c r="D93" s="106" t="s">
        <v>849</v>
      </c>
      <c r="E93" s="105"/>
    </row>
    <row r="94" spans="3:5" ht="12.75">
      <c r="C94" s="188" t="s">
        <v>70</v>
      </c>
      <c r="D94" s="106" t="s">
        <v>850</v>
      </c>
      <c r="E94" s="136"/>
    </row>
    <row r="95" spans="3:4" ht="12.75">
      <c r="C95" s="188" t="s">
        <v>89</v>
      </c>
      <c r="D95" s="106" t="s">
        <v>854</v>
      </c>
    </row>
    <row r="96" spans="3:5" ht="12.75">
      <c r="C96" s="106" t="s">
        <v>124</v>
      </c>
      <c r="D96" s="106" t="s">
        <v>846</v>
      </c>
      <c r="E96" s="136">
        <f>B6+B12+C48+C50+C51</f>
        <v>12195.037199999999</v>
      </c>
    </row>
    <row r="97" spans="3:4" ht="12.75">
      <c r="C97" s="106" t="s">
        <v>1033</v>
      </c>
      <c r="D97" s="106" t="s">
        <v>1102</v>
      </c>
    </row>
    <row r="98" spans="3:5" ht="12.75">
      <c r="C98" s="106" t="s">
        <v>1062</v>
      </c>
      <c r="D98" s="106" t="s">
        <v>1103</v>
      </c>
      <c r="E98" s="136">
        <f>C36</f>
        <v>2176.424893</v>
      </c>
    </row>
    <row r="99" spans="3:5" ht="12.75">
      <c r="C99" s="106" t="s">
        <v>1104</v>
      </c>
      <c r="D99" s="106" t="s">
        <v>1105</v>
      </c>
      <c r="E99" s="105"/>
    </row>
    <row r="100" spans="4:5" ht="12.75">
      <c r="D100" s="200" t="s">
        <v>358</v>
      </c>
      <c r="E100" s="136">
        <f>SUM(E74:E99)</f>
        <v>52657.881199999996</v>
      </c>
    </row>
    <row r="101" spans="4:5" ht="12.75">
      <c r="D101" s="200" t="s">
        <v>1106</v>
      </c>
      <c r="E101" s="105">
        <f>B71-E100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97"/>
  <sheetViews>
    <sheetView workbookViewId="0" topLeftCell="A24">
      <selection activeCell="E70" sqref="E70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947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6" s="1" customFormat="1" ht="12.75">
      <c r="A6" s="1" t="s">
        <v>591</v>
      </c>
      <c r="B6" s="295">
        <f>C8</f>
        <v>6290.46</v>
      </c>
      <c r="C6" s="295"/>
      <c r="F6" s="490"/>
    </row>
    <row r="7" spans="2:6" s="1" customFormat="1" ht="12.75" outlineLevel="1">
      <c r="B7" s="488"/>
      <c r="C7" s="295">
        <f>2*3145.23</f>
        <v>6290.46</v>
      </c>
      <c r="D7" s="1" t="s">
        <v>948</v>
      </c>
      <c r="E7" s="1" t="s">
        <v>124</v>
      </c>
      <c r="F7" s="490"/>
    </row>
    <row r="8" spans="2:6" s="1" customFormat="1" ht="12.75" outlineLevel="1">
      <c r="B8" s="488"/>
      <c r="C8" s="295">
        <f>SUM(C7:C7)</f>
        <v>6290.46</v>
      </c>
      <c r="D8" s="1" t="s">
        <v>358</v>
      </c>
      <c r="F8" s="490"/>
    </row>
    <row r="9" spans="1:6" s="1" customFormat="1" ht="12.75">
      <c r="A9" s="1" t="s">
        <v>499</v>
      </c>
      <c r="B9" s="488">
        <f>C11</f>
        <v>1396.18</v>
      </c>
      <c r="C9" s="295"/>
      <c r="F9" s="490"/>
    </row>
    <row r="10" spans="2:6" s="1" customFormat="1" ht="12.75" outlineLevel="1">
      <c r="B10" s="488"/>
      <c r="C10" s="295">
        <f>2*698.09</f>
        <v>1396.18</v>
      </c>
      <c r="D10" s="1" t="s">
        <v>949</v>
      </c>
      <c r="E10" s="1" t="s">
        <v>199</v>
      </c>
      <c r="F10" s="490"/>
    </row>
    <row r="11" spans="2:6" s="1" customFormat="1" ht="12.75" outlineLevel="1">
      <c r="B11" s="488"/>
      <c r="C11" s="295">
        <f>SUM(C10:C10)</f>
        <v>1396.18</v>
      </c>
      <c r="D11" s="1" t="s">
        <v>358</v>
      </c>
      <c r="F11" s="490"/>
    </row>
    <row r="12" spans="1:6" s="1" customFormat="1" ht="12.75">
      <c r="A12" s="1" t="s">
        <v>1424</v>
      </c>
      <c r="B12" s="488">
        <f>C18</f>
        <v>1949.4400000000003</v>
      </c>
      <c r="C12" s="295"/>
      <c r="E12" s="1" t="s">
        <v>124</v>
      </c>
      <c r="F12" s="490"/>
    </row>
    <row r="13" spans="2:6" s="1" customFormat="1" ht="12.75">
      <c r="B13" s="488"/>
      <c r="C13" s="295">
        <f>2*297.25</f>
        <v>594.5</v>
      </c>
      <c r="D13" s="1" t="s">
        <v>950</v>
      </c>
      <c r="F13" s="490"/>
    </row>
    <row r="14" spans="2:6" s="1" customFormat="1" ht="12.75" outlineLevel="1">
      <c r="B14" s="488"/>
      <c r="C14" s="295">
        <f>402.42+402.42</f>
        <v>804.84</v>
      </c>
      <c r="D14" s="1" t="s">
        <v>951</v>
      </c>
      <c r="F14" s="490"/>
    </row>
    <row r="15" spans="2:6" s="1" customFormat="1" ht="12.75" outlineLevel="1">
      <c r="B15" s="488"/>
      <c r="C15" s="295">
        <f>2*38.01</f>
        <v>76.02</v>
      </c>
      <c r="D15" s="1" t="s">
        <v>952</v>
      </c>
      <c r="F15" s="490"/>
    </row>
    <row r="16" spans="2:6" s="1" customFormat="1" ht="12.75" outlineLevel="1">
      <c r="B16" s="488"/>
      <c r="C16" s="295">
        <f>235.2+235.2</f>
        <v>470.4</v>
      </c>
      <c r="D16" s="1" t="s">
        <v>953</v>
      </c>
      <c r="F16" s="490"/>
    </row>
    <row r="17" spans="2:6" s="1" customFormat="1" ht="12.75" outlineLevel="1">
      <c r="B17" s="488"/>
      <c r="C17" s="295">
        <f>2*1.84</f>
        <v>3.68</v>
      </c>
      <c r="D17" s="1" t="s">
        <v>954</v>
      </c>
      <c r="F17" s="490"/>
    </row>
    <row r="18" spans="2:6" s="1" customFormat="1" ht="12.75" outlineLevel="1">
      <c r="B18" s="488"/>
      <c r="C18" s="295">
        <f>SUM(C13:C17)</f>
        <v>1949.4400000000003</v>
      </c>
      <c r="D18" s="1" t="s">
        <v>358</v>
      </c>
      <c r="F18" s="490"/>
    </row>
    <row r="19" spans="1:5" ht="12.75">
      <c r="A19" t="s">
        <v>917</v>
      </c>
      <c r="B19" s="105">
        <f>C21</f>
        <v>0</v>
      </c>
      <c r="E19" s="2"/>
    </row>
    <row r="20" spans="2:5" ht="12.75" outlineLevel="1">
      <c r="B20" s="105"/>
      <c r="C20" s="136">
        <v>0</v>
      </c>
      <c r="E20" s="2"/>
    </row>
    <row r="21" spans="2:3" ht="12.75" outlineLevel="1">
      <c r="B21" s="105"/>
      <c r="C21" s="136">
        <f>SUM(C20:C20)</f>
        <v>0</v>
      </c>
    </row>
    <row r="22" spans="1:2" ht="12.75">
      <c r="A22" t="s">
        <v>1142</v>
      </c>
      <c r="B22" s="105">
        <f>C23</f>
        <v>0</v>
      </c>
    </row>
    <row r="23" spans="2:7" ht="12.75">
      <c r="B23" s="105"/>
      <c r="C23" s="136">
        <v>0</v>
      </c>
      <c r="E23" s="188"/>
      <c r="F23" s="106"/>
      <c r="G23" s="188"/>
    </row>
    <row r="24" spans="1:2" ht="12.75">
      <c r="A24" t="s">
        <v>1134</v>
      </c>
      <c r="B24" s="105">
        <f>C26</f>
        <v>0</v>
      </c>
    </row>
    <row r="25" spans="2:5" ht="12.75" outlineLevel="1">
      <c r="B25" s="105"/>
      <c r="E25" s="2"/>
    </row>
    <row r="26" spans="2:5" ht="12.75" outlineLevel="1">
      <c r="B26" s="105"/>
      <c r="C26" s="136">
        <f>SUM(C25:C25)</f>
        <v>0</v>
      </c>
      <c r="E26" s="2"/>
    </row>
    <row r="27" spans="1:6" s="68" customFormat="1" ht="12.75">
      <c r="A27" t="s">
        <v>504</v>
      </c>
      <c r="B27" s="156">
        <f>C28</f>
        <v>0</v>
      </c>
      <c r="C27" s="151"/>
      <c r="D27" s="2"/>
      <c r="E27" s="2"/>
      <c r="F27" s="228"/>
    </row>
    <row r="28" spans="1:6" s="68" customFormat="1" ht="12.75" outlineLevel="1">
      <c r="A28"/>
      <c r="B28" s="154"/>
      <c r="C28" s="151">
        <v>0</v>
      </c>
      <c r="E28" s="2"/>
      <c r="F28" s="228"/>
    </row>
    <row r="29" spans="1:6" s="487" customFormat="1" ht="12.75">
      <c r="A29" s="1" t="s">
        <v>1464</v>
      </c>
      <c r="B29" s="488">
        <f>C32</f>
        <v>-673.29</v>
      </c>
      <c r="C29" s="295"/>
      <c r="D29" s="1"/>
      <c r="E29" s="1" t="s">
        <v>1428</v>
      </c>
      <c r="F29" s="491"/>
    </row>
    <row r="30" spans="1:6" s="487" customFormat="1" ht="12.75" outlineLevel="1">
      <c r="A30" s="1"/>
      <c r="B30" s="488"/>
      <c r="C30" s="295">
        <v>-885.75</v>
      </c>
      <c r="D30" s="1" t="s">
        <v>960</v>
      </c>
      <c r="E30" s="1"/>
      <c r="F30" s="491"/>
    </row>
    <row r="31" spans="1:6" s="487" customFormat="1" ht="12.75" outlineLevel="1">
      <c r="A31" s="1"/>
      <c r="B31" s="488"/>
      <c r="C31" s="295">
        <v>212.46</v>
      </c>
      <c r="D31" s="1" t="s">
        <v>958</v>
      </c>
      <c r="E31" s="1"/>
      <c r="F31" s="491"/>
    </row>
    <row r="32" spans="1:6" s="487" customFormat="1" ht="12.75" outlineLevel="1">
      <c r="A32" s="1"/>
      <c r="B32" s="488"/>
      <c r="C32" s="488">
        <f>SUM(C30:C31)</f>
        <v>-673.29</v>
      </c>
      <c r="D32" s="1"/>
      <c r="E32" s="1"/>
      <c r="F32" s="491"/>
    </row>
    <row r="33" spans="1:5" ht="12.75">
      <c r="A33" t="s">
        <v>955</v>
      </c>
      <c r="B33" s="105">
        <f>C37</f>
        <v>9461.17</v>
      </c>
      <c r="E33" s="2"/>
    </row>
    <row r="34" spans="2:6" s="1" customFormat="1" ht="12.75" outlineLevel="1">
      <c r="B34" s="488"/>
      <c r="C34" s="295">
        <v>2692.17</v>
      </c>
      <c r="D34" s="1" t="s">
        <v>956</v>
      </c>
      <c r="E34" s="492" t="s">
        <v>1062</v>
      </c>
      <c r="F34" s="490"/>
    </row>
    <row r="35" spans="2:6" s="1" customFormat="1" ht="12.75" outlineLevel="1">
      <c r="B35" s="488"/>
      <c r="C35" s="295">
        <v>1959.63</v>
      </c>
      <c r="D35" s="1" t="s">
        <v>956</v>
      </c>
      <c r="E35" s="492" t="s">
        <v>1062</v>
      </c>
      <c r="F35" s="490"/>
    </row>
    <row r="36" spans="2:6" s="1" customFormat="1" ht="12.75" outlineLevel="1">
      <c r="B36" s="488"/>
      <c r="C36" s="295">
        <v>4809.37</v>
      </c>
      <c r="D36" s="1" t="s">
        <v>957</v>
      </c>
      <c r="E36" s="1" t="s">
        <v>1429</v>
      </c>
      <c r="F36" s="490"/>
    </row>
    <row r="37" spans="2:5" ht="12.75" outlineLevel="1">
      <c r="B37" s="105"/>
      <c r="C37" s="136">
        <f>SUM(C34:C36)</f>
        <v>9461.17</v>
      </c>
      <c r="E37" s="2"/>
    </row>
    <row r="38" spans="1:6" s="68" customFormat="1" ht="12.75">
      <c r="A38" s="2" t="s">
        <v>518</v>
      </c>
      <c r="B38" s="156">
        <f>C39</f>
        <v>0</v>
      </c>
      <c r="C38" s="136"/>
      <c r="D38"/>
      <c r="F38" s="228"/>
    </row>
    <row r="39" spans="1:6" s="68" customFormat="1" ht="12.75" outlineLevel="1">
      <c r="A39" s="2"/>
      <c r="B39" s="156"/>
      <c r="C39" s="136">
        <v>0</v>
      </c>
      <c r="D39"/>
      <c r="E39" s="2"/>
      <c r="F39" s="228"/>
    </row>
    <row r="40" spans="1:6" s="68" customFormat="1" ht="12.75">
      <c r="A40" s="2"/>
      <c r="B40" s="156"/>
      <c r="C40" s="136"/>
      <c r="D40"/>
      <c r="E40" s="2"/>
      <c r="F40" s="228"/>
    </row>
    <row r="41" spans="1:5" ht="12.75">
      <c r="A41" t="s">
        <v>439</v>
      </c>
      <c r="B41" s="105">
        <f>SUM(B6:B38)</f>
        <v>18423.96</v>
      </c>
      <c r="E41" s="2"/>
    </row>
    <row r="42" spans="2:5" ht="12.75">
      <c r="B42" s="105"/>
      <c r="E42" s="2"/>
    </row>
    <row r="43" spans="1:5" ht="12.75">
      <c r="A43" t="s">
        <v>507</v>
      </c>
      <c r="B43" s="105">
        <f>C55</f>
        <v>5599.1792000000005</v>
      </c>
      <c r="E43" s="2"/>
    </row>
    <row r="44" spans="2:6" s="1" customFormat="1" ht="12.75" outlineLevel="1">
      <c r="B44" s="488"/>
      <c r="C44" s="295">
        <f>B6*$B$4</f>
        <v>3019.4208</v>
      </c>
      <c r="D44" s="1" t="s">
        <v>591</v>
      </c>
      <c r="E44" s="1" t="s">
        <v>124</v>
      </c>
      <c r="F44" s="490"/>
    </row>
    <row r="45" spans="2:6" s="1" customFormat="1" ht="12.75" outlineLevel="1">
      <c r="B45" s="488"/>
      <c r="C45" s="295">
        <f>B9*$B$4</f>
        <v>670.1664</v>
      </c>
      <c r="D45" s="1" t="s">
        <v>499</v>
      </c>
      <c r="E45" s="1" t="s">
        <v>199</v>
      </c>
      <c r="F45" s="490"/>
    </row>
    <row r="46" spans="2:6" s="1" customFormat="1" ht="12.75" outlineLevel="1">
      <c r="B46" s="488"/>
      <c r="C46" s="295">
        <f>$B$4*(B12-C17)</f>
        <v>933.9648000000001</v>
      </c>
      <c r="D46" s="1" t="s">
        <v>1470</v>
      </c>
      <c r="E46" s="1" t="s">
        <v>124</v>
      </c>
      <c r="F46" s="490"/>
    </row>
    <row r="47" spans="2:6" s="1" customFormat="1" ht="12.75" outlineLevel="1">
      <c r="B47" s="488"/>
      <c r="C47" s="295">
        <f>$B$4*C17</f>
        <v>1.7664</v>
      </c>
      <c r="D47" s="1" t="s">
        <v>1469</v>
      </c>
      <c r="E47" s="1" t="s">
        <v>124</v>
      </c>
      <c r="F47" s="490"/>
    </row>
    <row r="48" spans="2:5" ht="12.75" outlineLevel="1">
      <c r="B48" s="105"/>
      <c r="C48" s="136">
        <f>$B$4*B19</f>
        <v>0</v>
      </c>
      <c r="D48" t="s">
        <v>917</v>
      </c>
      <c r="E48" s="2"/>
    </row>
    <row r="49" spans="2:6" s="1" customFormat="1" ht="12.75" outlineLevel="1">
      <c r="B49" s="488"/>
      <c r="C49" s="295">
        <v>1297.04</v>
      </c>
      <c r="D49" s="1" t="s">
        <v>959</v>
      </c>
      <c r="E49" s="1" t="s">
        <v>1429</v>
      </c>
      <c r="F49" s="490"/>
    </row>
    <row r="50" spans="2:6" s="1" customFormat="1" ht="12.75" outlineLevel="1">
      <c r="B50" s="488"/>
      <c r="C50" s="295">
        <f>$B$4*C30</f>
        <v>-425.15999999999997</v>
      </c>
      <c r="D50" s="1" t="s">
        <v>1467</v>
      </c>
      <c r="E50" s="1" t="s">
        <v>1428</v>
      </c>
      <c r="F50" s="489"/>
    </row>
    <row r="51" spans="2:6" ht="12.75" outlineLevel="1">
      <c r="B51" s="105"/>
      <c r="C51" s="136">
        <f>$B$4*C31</f>
        <v>101.9808</v>
      </c>
      <c r="D51" s="2" t="s">
        <v>958</v>
      </c>
      <c r="E51" s="1" t="s">
        <v>1428</v>
      </c>
      <c r="F51" s="129"/>
    </row>
    <row r="52" spans="2:5" ht="12.75" outlineLevel="1">
      <c r="B52" s="105"/>
      <c r="C52" s="136">
        <f>$B$4*B38</f>
        <v>0</v>
      </c>
      <c r="D52" s="2" t="s">
        <v>518</v>
      </c>
      <c r="E52" s="2"/>
    </row>
    <row r="53" spans="2:4" ht="12.75" outlineLevel="1">
      <c r="B53" s="105"/>
      <c r="C53" s="136">
        <f>$B$4*B24</f>
        <v>0</v>
      </c>
      <c r="D53" t="s">
        <v>1134</v>
      </c>
    </row>
    <row r="54" spans="2:5" ht="12.75" outlineLevel="1">
      <c r="B54" s="105"/>
      <c r="C54" s="136">
        <f>$B$4*B27</f>
        <v>0</v>
      </c>
      <c r="D54" t="s">
        <v>504</v>
      </c>
      <c r="E54" s="2"/>
    </row>
    <row r="55" spans="2:4" ht="12.75" outlineLevel="1">
      <c r="B55" s="105"/>
      <c r="C55" s="136">
        <f>SUM(C44:C54)</f>
        <v>5599.1792000000005</v>
      </c>
      <c r="D55" t="s">
        <v>237</v>
      </c>
    </row>
    <row r="56" spans="1:2" ht="12.75">
      <c r="A56" t="s">
        <v>509</v>
      </c>
      <c r="B56" s="105">
        <f>B41+B43</f>
        <v>24023.139199999998</v>
      </c>
    </row>
    <row r="57" ht="12.75">
      <c r="B57" s="105"/>
    </row>
    <row r="58" spans="1:2" ht="12.75">
      <c r="A58" t="s">
        <v>1206</v>
      </c>
      <c r="B58" s="105">
        <f>C59</f>
        <v>0</v>
      </c>
    </row>
    <row r="59" spans="2:5" ht="12.75" outlineLevel="1">
      <c r="B59" s="105"/>
      <c r="C59" s="136">
        <v>0</v>
      </c>
      <c r="E59" s="188"/>
    </row>
    <row r="60" spans="1:5" ht="12.75">
      <c r="A60" t="s">
        <v>594</v>
      </c>
      <c r="B60" s="105">
        <f>C65</f>
        <v>11656.1</v>
      </c>
      <c r="E60" s="2"/>
    </row>
    <row r="61" spans="2:6" s="1" customFormat="1" ht="12.75" outlineLevel="1">
      <c r="B61" s="488"/>
      <c r="C61" s="295">
        <v>5704.47</v>
      </c>
      <c r="D61" s="1" t="s">
        <v>961</v>
      </c>
      <c r="E61" s="492" t="s">
        <v>199</v>
      </c>
      <c r="F61" s="490"/>
    </row>
    <row r="62" spans="2:6" s="1" customFormat="1" ht="12.75" outlineLevel="1">
      <c r="B62" s="488"/>
      <c r="C62" s="295">
        <v>4182.21</v>
      </c>
      <c r="D62" s="1" t="s">
        <v>962</v>
      </c>
      <c r="E62" s="492" t="s">
        <v>199</v>
      </c>
      <c r="F62" s="490"/>
    </row>
    <row r="63" spans="2:6" s="1" customFormat="1" ht="12.75" outlineLevel="1">
      <c r="B63" s="488"/>
      <c r="C63" s="295">
        <v>885.75</v>
      </c>
      <c r="D63" s="1" t="s">
        <v>1465</v>
      </c>
      <c r="E63" s="1" t="s">
        <v>1428</v>
      </c>
      <c r="F63" s="490"/>
    </row>
    <row r="64" spans="2:6" s="1" customFormat="1" ht="12.75" outlineLevel="1">
      <c r="B64" s="488"/>
      <c r="C64" s="295">
        <v>883.67</v>
      </c>
      <c r="D64" s="1" t="s">
        <v>1440</v>
      </c>
      <c r="E64" s="492" t="s">
        <v>198</v>
      </c>
      <c r="F64" s="490"/>
    </row>
    <row r="65" spans="1:5" ht="12.75" outlineLevel="1">
      <c r="A65" t="s">
        <v>368</v>
      </c>
      <c r="B65" s="105">
        <f>B60+B58</f>
        <v>11656.1</v>
      </c>
      <c r="C65" s="105">
        <f>SUM(C61:C64)</f>
        <v>11656.1</v>
      </c>
      <c r="E65" s="2"/>
    </row>
    <row r="66" spans="2:5" ht="12.75">
      <c r="B66" s="105"/>
      <c r="C66" s="105"/>
      <c r="E66" s="2"/>
    </row>
    <row r="67" spans="1:5" ht="12.75">
      <c r="A67" t="s">
        <v>415</v>
      </c>
      <c r="B67" s="105">
        <f>B65+B56</f>
        <v>35679.239199999996</v>
      </c>
      <c r="C67" s="105"/>
      <c r="E67" s="2"/>
    </row>
    <row r="68" ht="12.75">
      <c r="B68" s="105"/>
    </row>
    <row r="70" spans="3:5" ht="12.75">
      <c r="C70" s="188" t="s">
        <v>429</v>
      </c>
      <c r="D70" s="188" t="s">
        <v>1024</v>
      </c>
      <c r="E70" s="136"/>
    </row>
    <row r="71" spans="3:5" ht="12.75">
      <c r="C71" s="188" t="s">
        <v>370</v>
      </c>
      <c r="D71" s="188" t="s">
        <v>367</v>
      </c>
      <c r="E71" s="136">
        <f>B24+B27+C53+C54</f>
        <v>0</v>
      </c>
    </row>
    <row r="72" spans="3:6" ht="12.75">
      <c r="C72" s="2" t="s">
        <v>1428</v>
      </c>
      <c r="D72" s="2" t="s">
        <v>1431</v>
      </c>
      <c r="E72" s="105"/>
      <c r="F72" s="105"/>
    </row>
    <row r="73" spans="3:5" ht="12.75">
      <c r="C73" s="2" t="s">
        <v>1429</v>
      </c>
      <c r="D73" s="2" t="s">
        <v>1430</v>
      </c>
      <c r="E73" s="199">
        <f>C36+C49+B29+C50+C63+C51</f>
        <v>5995.6908</v>
      </c>
    </row>
    <row r="74" spans="3:4" ht="12.75">
      <c r="C74" s="188" t="s">
        <v>182</v>
      </c>
      <c r="D74" s="188" t="s">
        <v>855</v>
      </c>
    </row>
    <row r="75" spans="3:4" ht="12.75">
      <c r="C75" s="188" t="s">
        <v>187</v>
      </c>
      <c r="D75" s="189" t="s">
        <v>1779</v>
      </c>
    </row>
    <row r="76" spans="3:4" ht="12.75">
      <c r="C76" s="188" t="s">
        <v>189</v>
      </c>
      <c r="D76" s="106" t="s">
        <v>851</v>
      </c>
    </row>
    <row r="77" spans="3:4" ht="12.75">
      <c r="C77" s="106" t="s">
        <v>190</v>
      </c>
      <c r="D77" s="106" t="s">
        <v>852</v>
      </c>
    </row>
    <row r="78" spans="3:4" ht="12.75">
      <c r="C78" s="188" t="s">
        <v>192</v>
      </c>
      <c r="D78" s="200" t="s">
        <v>1025</v>
      </c>
    </row>
    <row r="79" spans="3:5" ht="12.75">
      <c r="C79" s="188" t="s">
        <v>193</v>
      </c>
      <c r="D79" s="200" t="s">
        <v>1026</v>
      </c>
      <c r="E79" s="136"/>
    </row>
    <row r="80" spans="3:4" ht="12.75">
      <c r="C80" s="188" t="s">
        <v>195</v>
      </c>
      <c r="D80" s="200" t="s">
        <v>1029</v>
      </c>
    </row>
    <row r="81" spans="3:5" ht="12.75">
      <c r="C81" s="188" t="s">
        <v>196</v>
      </c>
      <c r="D81" s="200" t="s">
        <v>1030</v>
      </c>
      <c r="E81" s="105"/>
    </row>
    <row r="82" spans="3:5" ht="12.75">
      <c r="C82" s="188" t="s">
        <v>198</v>
      </c>
      <c r="D82" s="200" t="s">
        <v>1099</v>
      </c>
      <c r="E82" s="105">
        <f>C64</f>
        <v>883.67</v>
      </c>
    </row>
    <row r="83" spans="3:7" ht="12.75">
      <c r="C83" s="188" t="s">
        <v>199</v>
      </c>
      <c r="D83" s="200" t="s">
        <v>1100</v>
      </c>
      <c r="E83" s="105">
        <f>B9+C45+C61+C62</f>
        <v>11953.026399999999</v>
      </c>
      <c r="F83" s="105"/>
      <c r="G83" s="105"/>
    </row>
    <row r="84" spans="3:5" ht="12.75">
      <c r="C84" s="188" t="s">
        <v>200</v>
      </c>
      <c r="D84" s="200" t="s">
        <v>1101</v>
      </c>
      <c r="E84" s="199"/>
    </row>
    <row r="85" spans="3:4" ht="12.75">
      <c r="C85" s="188" t="s">
        <v>17</v>
      </c>
      <c r="D85" s="200" t="s">
        <v>18</v>
      </c>
    </row>
    <row r="86" spans="3:4" ht="12.75">
      <c r="C86" s="106" t="s">
        <v>60</v>
      </c>
      <c r="D86" s="106" t="s">
        <v>847</v>
      </c>
    </row>
    <row r="87" spans="3:4" ht="12.75">
      <c r="C87" s="106" t="s">
        <v>62</v>
      </c>
      <c r="D87" s="106" t="s">
        <v>848</v>
      </c>
    </row>
    <row r="88" spans="3:4" ht="12.75">
      <c r="C88" s="106" t="s">
        <v>64</v>
      </c>
      <c r="D88" s="106" t="s">
        <v>853</v>
      </c>
    </row>
    <row r="89" spans="3:5" ht="12.75">
      <c r="C89" s="188" t="s">
        <v>68</v>
      </c>
      <c r="D89" s="106" t="s">
        <v>849</v>
      </c>
      <c r="E89" s="105"/>
    </row>
    <row r="90" spans="3:5" ht="12.75">
      <c r="C90" s="188" t="s">
        <v>70</v>
      </c>
      <c r="D90" s="106" t="s">
        <v>850</v>
      </c>
      <c r="E90" s="136"/>
    </row>
    <row r="91" spans="3:4" ht="12.75">
      <c r="C91" s="188" t="s">
        <v>89</v>
      </c>
      <c r="D91" s="106" t="s">
        <v>854</v>
      </c>
    </row>
    <row r="92" spans="3:5" ht="12.75">
      <c r="C92" s="106" t="s">
        <v>124</v>
      </c>
      <c r="D92" s="106" t="s">
        <v>846</v>
      </c>
      <c r="E92" s="136">
        <f>B6+B12+C44+C46+C47</f>
        <v>12195.052</v>
      </c>
    </row>
    <row r="93" spans="3:4" ht="12.75">
      <c r="C93" s="106" t="s">
        <v>1033</v>
      </c>
      <c r="D93" s="106" t="s">
        <v>1102</v>
      </c>
    </row>
    <row r="94" spans="3:5" ht="12.75">
      <c r="C94" s="106" t="s">
        <v>1062</v>
      </c>
      <c r="D94" s="106" t="s">
        <v>1103</v>
      </c>
      <c r="E94" s="136">
        <f>C34+C35</f>
        <v>4651.8</v>
      </c>
    </row>
    <row r="95" spans="3:5" ht="12.75">
      <c r="C95" s="106" t="s">
        <v>1104</v>
      </c>
      <c r="D95" s="106" t="s">
        <v>1105</v>
      </c>
      <c r="E95" s="105"/>
    </row>
    <row r="96" spans="4:5" ht="12.75">
      <c r="D96" s="200" t="s">
        <v>358</v>
      </c>
      <c r="E96" s="136">
        <f>SUM(E70:E95)</f>
        <v>35679.239199999996</v>
      </c>
    </row>
    <row r="97" spans="4:5" ht="12.75">
      <c r="D97" s="200" t="s">
        <v>1106</v>
      </c>
      <c r="E97" s="105">
        <f>B67-E96</f>
        <v>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93"/>
  <sheetViews>
    <sheetView workbookViewId="0" topLeftCell="A6">
      <selection activeCell="C30" sqref="C30:E30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3.28125" style="0" customWidth="1"/>
    <col min="6" max="6" width="11.57421875" style="227" customWidth="1"/>
  </cols>
  <sheetData>
    <row r="2" spans="1:3" ht="12.75">
      <c r="A2" t="s">
        <v>392</v>
      </c>
      <c r="B2" t="s">
        <v>963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C8</f>
        <v>6290.46</v>
      </c>
    </row>
    <row r="7" spans="2:5" ht="12.75" outlineLevel="1">
      <c r="B7" s="105"/>
      <c r="C7" s="295">
        <f>2*3145.23</f>
        <v>6290.46</v>
      </c>
      <c r="D7" s="1" t="s">
        <v>964</v>
      </c>
      <c r="E7" s="1" t="s">
        <v>124</v>
      </c>
    </row>
    <row r="8" spans="2:5" ht="12.75" outlineLevel="1">
      <c r="B8" s="105"/>
      <c r="C8" s="136">
        <f>SUM(C7:C7)</f>
        <v>6290.46</v>
      </c>
      <c r="D8" t="s">
        <v>358</v>
      </c>
      <c r="E8" s="2"/>
    </row>
    <row r="9" spans="1:5" ht="12.75">
      <c r="A9" t="s">
        <v>499</v>
      </c>
      <c r="B9" s="105">
        <f>C11</f>
        <v>1396.18</v>
      </c>
      <c r="E9" s="2"/>
    </row>
    <row r="10" spans="2:5" ht="12.75" outlineLevel="1">
      <c r="B10" s="105"/>
      <c r="C10" s="295">
        <f>2*698.09</f>
        <v>1396.18</v>
      </c>
      <c r="D10" s="1" t="s">
        <v>965</v>
      </c>
      <c r="E10" s="1" t="s">
        <v>199</v>
      </c>
    </row>
    <row r="11" spans="2:4" ht="12.75" outlineLevel="1">
      <c r="B11" s="105"/>
      <c r="C11" s="136">
        <f>SUM(C10:C10)</f>
        <v>1396.18</v>
      </c>
      <c r="D11" t="s">
        <v>358</v>
      </c>
    </row>
    <row r="12" spans="1:5" ht="12.75">
      <c r="A12" t="s">
        <v>1424</v>
      </c>
      <c r="B12" s="105">
        <f>C18</f>
        <v>1948.5900000000001</v>
      </c>
      <c r="E12" s="2"/>
    </row>
    <row r="13" spans="2:5" ht="12.75">
      <c r="B13" s="105"/>
      <c r="C13" s="295">
        <f>2*297.25</f>
        <v>594.5</v>
      </c>
      <c r="D13" s="1" t="s">
        <v>966</v>
      </c>
      <c r="E13" s="1" t="s">
        <v>124</v>
      </c>
    </row>
    <row r="14" spans="2:5" ht="12.75" outlineLevel="1">
      <c r="B14" s="105"/>
      <c r="C14" s="295">
        <f>402.42+402.42</f>
        <v>804.84</v>
      </c>
      <c r="D14" s="1" t="s">
        <v>967</v>
      </c>
      <c r="E14" s="1" t="s">
        <v>124</v>
      </c>
    </row>
    <row r="15" spans="2:5" ht="12.75" outlineLevel="1">
      <c r="B15" s="105"/>
      <c r="C15" s="295">
        <f>2*38.01</f>
        <v>76.02</v>
      </c>
      <c r="D15" s="1" t="s">
        <v>968</v>
      </c>
      <c r="E15" s="1" t="s">
        <v>124</v>
      </c>
    </row>
    <row r="16" spans="2:5" ht="12.75" outlineLevel="1">
      <c r="B16" s="105"/>
      <c r="C16" s="295">
        <f>234.77+234.78</f>
        <v>469.55</v>
      </c>
      <c r="D16" s="1" t="s">
        <v>969</v>
      </c>
      <c r="E16" s="1" t="s">
        <v>124</v>
      </c>
    </row>
    <row r="17" spans="2:5" ht="12.75" outlineLevel="1">
      <c r="B17" s="105"/>
      <c r="C17" s="295">
        <f>2*1.84</f>
        <v>3.68</v>
      </c>
      <c r="D17" s="1" t="s">
        <v>970</v>
      </c>
      <c r="E17" s="1" t="s">
        <v>124</v>
      </c>
    </row>
    <row r="18" spans="2:6" ht="12.75" outlineLevel="1">
      <c r="B18" s="105"/>
      <c r="C18" s="136">
        <f>SUM(C13:C17)</f>
        <v>1948.5900000000001</v>
      </c>
      <c r="D18" t="s">
        <v>358</v>
      </c>
      <c r="E18" s="2"/>
      <c r="F18" s="227">
        <f>B6+B9+B12</f>
        <v>9635.23</v>
      </c>
    </row>
    <row r="19" spans="1:5" ht="12.75">
      <c r="A19" t="s">
        <v>917</v>
      </c>
      <c r="B19" s="105">
        <f>C21</f>
        <v>0</v>
      </c>
      <c r="E19" s="2"/>
    </row>
    <row r="20" spans="2:5" ht="12.75" outlineLevel="1">
      <c r="B20" s="105"/>
      <c r="C20" s="136">
        <v>0</v>
      </c>
      <c r="E20" s="2"/>
    </row>
    <row r="21" spans="2:3" ht="12.75" outlineLevel="1">
      <c r="B21" s="105"/>
      <c r="C21" s="136">
        <f>SUM(C20:C20)</f>
        <v>0</v>
      </c>
    </row>
    <row r="22" spans="1:2" ht="12.75">
      <c r="A22" t="s">
        <v>1142</v>
      </c>
      <c r="B22" s="105">
        <f>C23</f>
        <v>0</v>
      </c>
    </row>
    <row r="23" spans="2:7" ht="12.75">
      <c r="B23" s="105"/>
      <c r="C23" s="136">
        <v>0</v>
      </c>
      <c r="E23" s="188"/>
      <c r="F23" s="106"/>
      <c r="G23" s="188"/>
    </row>
    <row r="24" spans="1:2" ht="12.75">
      <c r="A24" t="s">
        <v>1134</v>
      </c>
      <c r="B24" s="105">
        <f>C26</f>
        <v>0</v>
      </c>
    </row>
    <row r="25" spans="2:5" ht="12.75" outlineLevel="1">
      <c r="B25" s="105"/>
      <c r="E25" s="2"/>
    </row>
    <row r="26" spans="2:5" ht="12.75" outlineLevel="1">
      <c r="B26" s="105"/>
      <c r="C26" s="136">
        <f>SUM(C25:C25)</f>
        <v>0</v>
      </c>
      <c r="E26" s="2"/>
    </row>
    <row r="27" spans="1:6" s="68" customFormat="1" ht="12.75">
      <c r="A27" t="s">
        <v>504</v>
      </c>
      <c r="B27" s="156">
        <f>C28</f>
        <v>0</v>
      </c>
      <c r="C27" s="151"/>
      <c r="D27" s="2"/>
      <c r="E27" s="2" t="s">
        <v>370</v>
      </c>
      <c r="F27" s="228"/>
    </row>
    <row r="28" spans="1:6" s="68" customFormat="1" ht="12.75" outlineLevel="1">
      <c r="A28"/>
      <c r="B28" s="154"/>
      <c r="C28" s="151">
        <v>0</v>
      </c>
      <c r="E28" s="2"/>
      <c r="F28" s="228"/>
    </row>
    <row r="29" spans="1:6" s="68" customFormat="1" ht="12.75">
      <c r="A29" t="s">
        <v>972</v>
      </c>
      <c r="B29" s="156">
        <f>C32</f>
        <v>2049.9700000000003</v>
      </c>
      <c r="C29" s="151"/>
      <c r="D29" s="2"/>
      <c r="E29" s="2"/>
      <c r="F29" s="228"/>
    </row>
    <row r="30" spans="1:6" s="68" customFormat="1" ht="12.75" outlineLevel="1">
      <c r="A30"/>
      <c r="B30" s="156"/>
      <c r="C30" s="295">
        <v>1599.97</v>
      </c>
      <c r="D30" s="1" t="s">
        <v>973</v>
      </c>
      <c r="E30" s="492" t="s">
        <v>198</v>
      </c>
      <c r="F30" s="228"/>
    </row>
    <row r="31" spans="1:6" s="68" customFormat="1" ht="12.75" outlineLevel="1">
      <c r="A31"/>
      <c r="B31" s="156"/>
      <c r="C31" s="295">
        <v>450</v>
      </c>
      <c r="D31" s="1" t="s">
        <v>974</v>
      </c>
      <c r="E31" s="492" t="s">
        <v>198</v>
      </c>
      <c r="F31" s="228"/>
    </row>
    <row r="32" spans="1:6" s="68" customFormat="1" ht="12.75" outlineLevel="1">
      <c r="A32"/>
      <c r="B32" s="156"/>
      <c r="C32" s="156">
        <f>SUM(C30:C31)</f>
        <v>2049.9700000000003</v>
      </c>
      <c r="D32" s="2"/>
      <c r="E32" s="2"/>
      <c r="F32" s="228"/>
    </row>
    <row r="33" spans="1:5" ht="12.75">
      <c r="A33" t="s">
        <v>955</v>
      </c>
      <c r="B33" s="105">
        <f>C36</f>
        <v>4880.88</v>
      </c>
      <c r="E33" s="2"/>
    </row>
    <row r="34" spans="2:5" ht="12.75" outlineLevel="1">
      <c r="B34" s="105"/>
      <c r="C34" s="295">
        <v>2188.19</v>
      </c>
      <c r="D34" s="1" t="s">
        <v>956</v>
      </c>
      <c r="E34" s="492" t="s">
        <v>1062</v>
      </c>
    </row>
    <row r="35" spans="2:5" ht="12.75" outlineLevel="1">
      <c r="B35" s="105"/>
      <c r="C35" s="295">
        <v>2692.69</v>
      </c>
      <c r="D35" s="1" t="s">
        <v>971</v>
      </c>
      <c r="E35" s="1" t="s">
        <v>1428</v>
      </c>
    </row>
    <row r="36" spans="2:5" ht="12.75" outlineLevel="1">
      <c r="B36" s="105"/>
      <c r="C36" s="136">
        <f>SUM(C34:C35)</f>
        <v>4880.88</v>
      </c>
      <c r="E36" s="2"/>
    </row>
    <row r="37" spans="1:6" s="68" customFormat="1" ht="12.75">
      <c r="A37" s="2" t="s">
        <v>518</v>
      </c>
      <c r="B37" s="156">
        <f>C38</f>
        <v>0</v>
      </c>
      <c r="C37" s="136"/>
      <c r="D37"/>
      <c r="F37" s="228"/>
    </row>
    <row r="38" spans="1:6" s="68" customFormat="1" ht="12.75" outlineLevel="1">
      <c r="A38" s="2"/>
      <c r="B38" s="156"/>
      <c r="C38" s="136">
        <v>0</v>
      </c>
      <c r="D38"/>
      <c r="E38" s="2"/>
      <c r="F38" s="228"/>
    </row>
    <row r="39" spans="1:6" s="68" customFormat="1" ht="12.75">
      <c r="A39" s="2"/>
      <c r="B39" s="156"/>
      <c r="C39" s="136"/>
      <c r="D39"/>
      <c r="E39" s="2"/>
      <c r="F39" s="228"/>
    </row>
    <row r="40" spans="1:5" ht="12.75">
      <c r="A40" t="s">
        <v>439</v>
      </c>
      <c r="B40" s="105">
        <f>SUM(B6:B37)</f>
        <v>16566.08</v>
      </c>
      <c r="E40" s="2"/>
    </row>
    <row r="41" spans="2:5" ht="12.75">
      <c r="B41" s="105"/>
      <c r="E41" s="2"/>
    </row>
    <row r="42" spans="1:5" ht="12.75">
      <c r="A42" t="s">
        <v>507</v>
      </c>
      <c r="B42" s="105">
        <f>C53</f>
        <v>7951.718400000001</v>
      </c>
      <c r="E42" s="2"/>
    </row>
    <row r="43" spans="2:5" ht="12.75">
      <c r="B43" s="105"/>
      <c r="C43" s="295">
        <f>B6*$B$4</f>
        <v>3019.4208</v>
      </c>
      <c r="D43" s="1" t="s">
        <v>591</v>
      </c>
      <c r="E43" s="1" t="s">
        <v>124</v>
      </c>
    </row>
    <row r="44" spans="2:5" ht="12.75">
      <c r="B44" s="105"/>
      <c r="C44" s="295">
        <f>B9*$B$4</f>
        <v>670.1664</v>
      </c>
      <c r="D44" s="1" t="s">
        <v>499</v>
      </c>
      <c r="E44" s="1" t="s">
        <v>199</v>
      </c>
    </row>
    <row r="45" spans="2:5" ht="12.75" outlineLevel="1">
      <c r="B45" s="105"/>
      <c r="C45" s="295">
        <f>$B$4*(B12-C17)</f>
        <v>933.5568</v>
      </c>
      <c r="D45" s="1" t="s">
        <v>1470</v>
      </c>
      <c r="E45" s="1" t="s">
        <v>124</v>
      </c>
    </row>
    <row r="46" spans="2:5" ht="12.75" outlineLevel="1">
      <c r="B46" s="105"/>
      <c r="C46" s="295">
        <f>$B$4*C17</f>
        <v>1.7664</v>
      </c>
      <c r="D46" s="1" t="s">
        <v>1469</v>
      </c>
      <c r="E46" s="1" t="s">
        <v>124</v>
      </c>
    </row>
    <row r="47" spans="2:5" ht="12.75" outlineLevel="1">
      <c r="B47" s="105"/>
      <c r="C47" s="136">
        <f>$B$4*B19</f>
        <v>0</v>
      </c>
      <c r="D47" t="s">
        <v>917</v>
      </c>
      <c r="E47" s="2"/>
    </row>
    <row r="48" spans="2:5" ht="12.75" outlineLevel="1">
      <c r="B48" s="105"/>
      <c r="C48" s="295">
        <f>$B$4*B33</f>
        <v>2342.8224</v>
      </c>
      <c r="D48" s="1" t="s">
        <v>959</v>
      </c>
      <c r="E48" s="1" t="s">
        <v>1428</v>
      </c>
    </row>
    <row r="49" spans="2:6" ht="12.75" outlineLevel="1">
      <c r="B49" s="105"/>
      <c r="C49" s="295">
        <f>$B$4*B29</f>
        <v>983.9856000000001</v>
      </c>
      <c r="D49" s="1" t="s">
        <v>1467</v>
      </c>
      <c r="E49" s="1" t="s">
        <v>1428</v>
      </c>
      <c r="F49" s="129"/>
    </row>
    <row r="50" spans="2:5" ht="12.75" outlineLevel="1">
      <c r="B50" s="105"/>
      <c r="C50" s="136">
        <f>$B$4*B37</f>
        <v>0</v>
      </c>
      <c r="D50" s="2" t="s">
        <v>518</v>
      </c>
      <c r="E50" s="2" t="s">
        <v>1428</v>
      </c>
    </row>
    <row r="51" spans="2:4" ht="12.75" outlineLevel="1">
      <c r="B51" s="105"/>
      <c r="C51" s="136">
        <f>$B$4*B24</f>
        <v>0</v>
      </c>
      <c r="D51" t="s">
        <v>1134</v>
      </c>
    </row>
    <row r="52" spans="2:5" ht="12.75" outlineLevel="1">
      <c r="B52" s="105"/>
      <c r="C52" s="136">
        <f>$B$4*B27</f>
        <v>0</v>
      </c>
      <c r="D52" t="s">
        <v>504</v>
      </c>
      <c r="E52" s="2" t="s">
        <v>370</v>
      </c>
    </row>
    <row r="53" spans="2:4" ht="12.75" outlineLevel="1">
      <c r="B53" s="105"/>
      <c r="C53" s="136">
        <f>SUM(C43:C52)</f>
        <v>7951.718400000001</v>
      </c>
      <c r="D53" t="s">
        <v>237</v>
      </c>
    </row>
    <row r="54" spans="1:2" ht="12.75">
      <c r="A54" t="s">
        <v>509</v>
      </c>
      <c r="B54" s="105">
        <f>B40+B42</f>
        <v>24517.798400000003</v>
      </c>
    </row>
    <row r="55" ht="12.75">
      <c r="B55" s="105"/>
    </row>
    <row r="56" spans="1:2" ht="12.75">
      <c r="A56" t="s">
        <v>1206</v>
      </c>
      <c r="B56" s="105">
        <f>C57</f>
        <v>0</v>
      </c>
    </row>
    <row r="57" spans="2:5" ht="12.75" outlineLevel="1">
      <c r="B57" s="105"/>
      <c r="C57" s="136">
        <v>0</v>
      </c>
      <c r="E57" s="188"/>
    </row>
    <row r="58" spans="1:5" ht="12.75">
      <c r="A58" t="s">
        <v>594</v>
      </c>
      <c r="B58" s="105">
        <f>C61</f>
        <v>17095.18</v>
      </c>
      <c r="E58" s="2"/>
    </row>
    <row r="59" spans="2:5" ht="12.75" outlineLevel="1">
      <c r="B59" s="105"/>
      <c r="C59" s="295">
        <v>9254.16</v>
      </c>
      <c r="D59" s="1" t="s">
        <v>975</v>
      </c>
      <c r="E59" s="492" t="s">
        <v>199</v>
      </c>
    </row>
    <row r="60" spans="2:5" ht="12.75" outlineLevel="1">
      <c r="B60" s="105"/>
      <c r="C60" s="295">
        <v>7841.02</v>
      </c>
      <c r="D60" s="1" t="s">
        <v>976</v>
      </c>
      <c r="E60" s="492" t="s">
        <v>199</v>
      </c>
    </row>
    <row r="61" spans="1:5" ht="12.75" outlineLevel="1">
      <c r="A61" t="s">
        <v>368</v>
      </c>
      <c r="B61" s="105">
        <f>B58+B56</f>
        <v>17095.18</v>
      </c>
      <c r="C61" s="105">
        <f>SUM(C59:C60)</f>
        <v>17095.18</v>
      </c>
      <c r="E61" s="2"/>
    </row>
    <row r="62" spans="2:5" ht="12.75">
      <c r="B62" s="105"/>
      <c r="C62" s="105"/>
      <c r="E62" s="2"/>
    </row>
    <row r="63" spans="1:5" ht="12.75">
      <c r="A63" t="s">
        <v>415</v>
      </c>
      <c r="B63" s="105">
        <f>B61+B54</f>
        <v>41612.97840000001</v>
      </c>
      <c r="C63" s="105"/>
      <c r="E63" s="2"/>
    </row>
    <row r="64" ht="12.75">
      <c r="B64" s="105"/>
    </row>
    <row r="66" spans="3:5" ht="12.75">
      <c r="C66" s="188" t="s">
        <v>429</v>
      </c>
      <c r="D66" s="188" t="s">
        <v>1024</v>
      </c>
      <c r="E66" s="136"/>
    </row>
    <row r="67" spans="3:5" ht="12.75">
      <c r="C67" s="188" t="s">
        <v>370</v>
      </c>
      <c r="D67" s="188" t="s">
        <v>367</v>
      </c>
      <c r="E67" s="136"/>
    </row>
    <row r="68" spans="3:6" ht="12.75">
      <c r="C68" s="2" t="s">
        <v>1428</v>
      </c>
      <c r="D68" s="2" t="s">
        <v>1431</v>
      </c>
      <c r="E68" s="105">
        <f>C49+C35+C48</f>
        <v>6019.498</v>
      </c>
      <c r="F68" s="105"/>
    </row>
    <row r="69" spans="3:5" ht="12.75">
      <c r="C69" s="2" t="s">
        <v>1429</v>
      </c>
      <c r="D69" s="2" t="s">
        <v>1430</v>
      </c>
      <c r="E69" s="199"/>
    </row>
    <row r="70" spans="3:4" ht="12.75">
      <c r="C70" s="188" t="s">
        <v>182</v>
      </c>
      <c r="D70" s="188" t="s">
        <v>855</v>
      </c>
    </row>
    <row r="71" spans="3:4" ht="12.75">
      <c r="C71" s="188" t="s">
        <v>187</v>
      </c>
      <c r="D71" s="189" t="s">
        <v>1779</v>
      </c>
    </row>
    <row r="72" spans="3:4" ht="12.75">
      <c r="C72" s="188" t="s">
        <v>189</v>
      </c>
      <c r="D72" s="106" t="s">
        <v>851</v>
      </c>
    </row>
    <row r="73" spans="3:4" ht="12.75">
      <c r="C73" s="106" t="s">
        <v>190</v>
      </c>
      <c r="D73" s="106" t="s">
        <v>852</v>
      </c>
    </row>
    <row r="74" spans="3:4" ht="12.75">
      <c r="C74" s="188" t="s">
        <v>192</v>
      </c>
      <c r="D74" s="200" t="s">
        <v>1025</v>
      </c>
    </row>
    <row r="75" spans="3:5" ht="12.75">
      <c r="C75" s="188" t="s">
        <v>193</v>
      </c>
      <c r="D75" s="200" t="s">
        <v>1026</v>
      </c>
      <c r="E75" s="136"/>
    </row>
    <row r="76" spans="3:4" ht="12.75">
      <c r="C76" s="188" t="s">
        <v>195</v>
      </c>
      <c r="D76" s="200" t="s">
        <v>1029</v>
      </c>
    </row>
    <row r="77" spans="3:5" ht="12.75">
      <c r="C77" s="188" t="s">
        <v>196</v>
      </c>
      <c r="D77" s="200" t="s">
        <v>1030</v>
      </c>
      <c r="E77" s="105"/>
    </row>
    <row r="78" spans="3:5" ht="12.75">
      <c r="C78" s="188" t="s">
        <v>198</v>
      </c>
      <c r="D78" s="200" t="s">
        <v>1099</v>
      </c>
      <c r="E78" s="105">
        <f>C30+C31</f>
        <v>2049.9700000000003</v>
      </c>
    </row>
    <row r="79" spans="3:7" ht="12.75">
      <c r="C79" s="188" t="s">
        <v>199</v>
      </c>
      <c r="D79" s="200" t="s">
        <v>1100</v>
      </c>
      <c r="E79" s="105">
        <f>C10+C44+C59+C60</f>
        <v>19161.526400000002</v>
      </c>
      <c r="F79" s="105"/>
      <c r="G79" s="105"/>
    </row>
    <row r="80" spans="3:5" ht="12.75">
      <c r="C80" s="188" t="s">
        <v>200</v>
      </c>
      <c r="D80" s="200" t="s">
        <v>1101</v>
      </c>
      <c r="E80" s="199"/>
    </row>
    <row r="81" spans="3:4" ht="12.75">
      <c r="C81" s="188" t="s">
        <v>17</v>
      </c>
      <c r="D81" s="200" t="s">
        <v>18</v>
      </c>
    </row>
    <row r="82" spans="3:4" ht="12.75">
      <c r="C82" s="106" t="s">
        <v>60</v>
      </c>
      <c r="D82" s="106" t="s">
        <v>847</v>
      </c>
    </row>
    <row r="83" spans="3:4" ht="12.75">
      <c r="C83" s="106" t="s">
        <v>62</v>
      </c>
      <c r="D83" s="106" t="s">
        <v>848</v>
      </c>
    </row>
    <row r="84" spans="3:4" ht="12.75">
      <c r="C84" s="106" t="s">
        <v>64</v>
      </c>
      <c r="D84" s="106" t="s">
        <v>853</v>
      </c>
    </row>
    <row r="85" spans="3:5" ht="12.75">
      <c r="C85" s="188" t="s">
        <v>68</v>
      </c>
      <c r="D85" s="106" t="s">
        <v>849</v>
      </c>
      <c r="E85" s="105"/>
    </row>
    <row r="86" spans="3:5" ht="12.75">
      <c r="C86" s="188" t="s">
        <v>70</v>
      </c>
      <c r="D86" s="106" t="s">
        <v>850</v>
      </c>
      <c r="E86" s="136"/>
    </row>
    <row r="87" spans="3:4" ht="12.75">
      <c r="C87" s="188" t="s">
        <v>89</v>
      </c>
      <c r="D87" s="106" t="s">
        <v>854</v>
      </c>
    </row>
    <row r="88" spans="3:5" ht="12.75">
      <c r="C88" s="106" t="s">
        <v>124</v>
      </c>
      <c r="D88" s="106" t="s">
        <v>846</v>
      </c>
      <c r="E88" s="136">
        <f>C7+C13+C14+C15+C16+C17+C43+C45+C46</f>
        <v>12193.794000000002</v>
      </c>
    </row>
    <row r="89" spans="3:4" ht="12.75">
      <c r="C89" s="106" t="s">
        <v>1033</v>
      </c>
      <c r="D89" s="106" t="s">
        <v>1102</v>
      </c>
    </row>
    <row r="90" spans="3:5" ht="12.75">
      <c r="C90" s="106" t="s">
        <v>1062</v>
      </c>
      <c r="D90" s="106" t="s">
        <v>1103</v>
      </c>
      <c r="E90" s="136">
        <f>C34</f>
        <v>2188.19</v>
      </c>
    </row>
    <row r="91" spans="3:5" ht="12.75">
      <c r="C91" s="106" t="s">
        <v>1104</v>
      </c>
      <c r="D91" s="106" t="s">
        <v>1105</v>
      </c>
      <c r="E91" s="105"/>
    </row>
    <row r="92" spans="4:5" ht="12.75">
      <c r="D92" s="200" t="s">
        <v>358</v>
      </c>
      <c r="E92" s="136">
        <f>SUM(E66:E91)</f>
        <v>41612.97840000001</v>
      </c>
    </row>
    <row r="93" spans="4:5" ht="12.75">
      <c r="D93" s="200" t="s">
        <v>1106</v>
      </c>
      <c r="E93" s="105">
        <f>B63-E92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90"/>
  <sheetViews>
    <sheetView workbookViewId="0" topLeftCell="A22">
      <selection activeCell="A94" sqref="A94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3.7109375" style="0" customWidth="1"/>
    <col min="5" max="5" width="12.140625" style="0" customWidth="1"/>
    <col min="6" max="6" width="11.57421875" style="227" customWidth="1"/>
  </cols>
  <sheetData>
    <row r="2" spans="1:3" ht="12.75">
      <c r="A2" t="s">
        <v>392</v>
      </c>
      <c r="B2" t="s">
        <v>977</v>
      </c>
      <c r="C2"/>
    </row>
    <row r="3" spans="1:3" ht="12.75">
      <c r="A3" t="s">
        <v>394</v>
      </c>
      <c r="B3">
        <v>509604</v>
      </c>
      <c r="C3"/>
    </row>
    <row r="4" spans="1:3" ht="12.75">
      <c r="A4" t="s">
        <v>369</v>
      </c>
      <c r="B4">
        <v>0.48</v>
      </c>
      <c r="C4"/>
    </row>
    <row r="5" ht="12.75">
      <c r="B5" t="s">
        <v>395</v>
      </c>
    </row>
    <row r="6" spans="1:2" ht="12.75">
      <c r="A6" t="s">
        <v>591</v>
      </c>
      <c r="B6" s="136">
        <f>C8</f>
        <v>6290.46</v>
      </c>
    </row>
    <row r="7" spans="2:5" ht="12.75" outlineLevel="1">
      <c r="B7" s="105"/>
      <c r="C7" s="295">
        <f>2*3145.23</f>
        <v>6290.46</v>
      </c>
      <c r="D7" s="1" t="s">
        <v>978</v>
      </c>
      <c r="E7" s="1" t="s">
        <v>124</v>
      </c>
    </row>
    <row r="8" spans="2:5" ht="12.75" outlineLevel="1">
      <c r="B8" s="105"/>
      <c r="C8" s="136">
        <f>SUM(C7:C7)</f>
        <v>6290.46</v>
      </c>
      <c r="D8" t="s">
        <v>358</v>
      </c>
      <c r="E8" s="2"/>
    </row>
    <row r="9" spans="1:5" ht="12.75">
      <c r="A9" t="s">
        <v>499</v>
      </c>
      <c r="B9" s="105">
        <f>C11</f>
        <v>1396.18</v>
      </c>
      <c r="E9" s="2"/>
    </row>
    <row r="10" spans="2:5" ht="12.75" outlineLevel="1">
      <c r="B10" s="105"/>
      <c r="C10" s="295">
        <f>2*698.09</f>
        <v>1396.18</v>
      </c>
      <c r="D10" s="1" t="s">
        <v>979</v>
      </c>
      <c r="E10" s="1" t="s">
        <v>199</v>
      </c>
    </row>
    <row r="11" spans="2:4" ht="12.75" outlineLevel="1">
      <c r="B11" s="105"/>
      <c r="C11" s="136">
        <f>SUM(C10:C10)</f>
        <v>1396.18</v>
      </c>
      <c r="D11" t="s">
        <v>358</v>
      </c>
    </row>
    <row r="12" spans="1:5" ht="12.75">
      <c r="A12" t="s">
        <v>1424</v>
      </c>
      <c r="B12" s="105">
        <f>C18</f>
        <v>1948.5900000000001</v>
      </c>
      <c r="E12" s="2"/>
    </row>
    <row r="13" spans="2:5" ht="12.75">
      <c r="B13" s="105"/>
      <c r="C13" s="295">
        <f>2*297.25</f>
        <v>594.5</v>
      </c>
      <c r="D13" s="1" t="s">
        <v>980</v>
      </c>
      <c r="E13" s="1" t="s">
        <v>124</v>
      </c>
    </row>
    <row r="14" spans="2:5" ht="12.75" outlineLevel="1">
      <c r="B14" s="105"/>
      <c r="C14" s="295">
        <f>402.42+402.42</f>
        <v>804.84</v>
      </c>
      <c r="D14" s="1" t="s">
        <v>981</v>
      </c>
      <c r="E14" s="1" t="s">
        <v>124</v>
      </c>
    </row>
    <row r="15" spans="2:5" ht="12.75" outlineLevel="1">
      <c r="B15" s="105"/>
      <c r="C15" s="295">
        <f>2*38.01</f>
        <v>76.02</v>
      </c>
      <c r="D15" s="1" t="s">
        <v>982</v>
      </c>
      <c r="E15" s="1" t="s">
        <v>124</v>
      </c>
    </row>
    <row r="16" spans="2:5" ht="12.75" outlineLevel="1">
      <c r="B16" s="105"/>
      <c r="C16" s="295">
        <f>234.77+234.78</f>
        <v>469.55</v>
      </c>
      <c r="D16" s="1" t="s">
        <v>983</v>
      </c>
      <c r="E16" s="1" t="s">
        <v>124</v>
      </c>
    </row>
    <row r="17" spans="2:5" ht="12.75" outlineLevel="1">
      <c r="B17" s="105"/>
      <c r="C17" s="295">
        <f>2*1.84</f>
        <v>3.68</v>
      </c>
      <c r="D17" s="1" t="s">
        <v>984</v>
      </c>
      <c r="E17" s="1" t="s">
        <v>124</v>
      </c>
    </row>
    <row r="18" spans="2:6" ht="12.75" outlineLevel="1">
      <c r="B18" s="105"/>
      <c r="C18" s="136">
        <f>SUM(C13:C17)</f>
        <v>1948.5900000000001</v>
      </c>
      <c r="D18" t="s">
        <v>358</v>
      </c>
      <c r="E18" s="2"/>
      <c r="F18" s="227">
        <f>B6+B9+B12</f>
        <v>9635.23</v>
      </c>
    </row>
    <row r="19" spans="1:5" ht="12.75">
      <c r="A19" t="s">
        <v>917</v>
      </c>
      <c r="B19" s="105">
        <f>C21</f>
        <v>0</v>
      </c>
      <c r="E19" s="2"/>
    </row>
    <row r="20" spans="2:5" ht="12.75" outlineLevel="1">
      <c r="B20" s="105"/>
      <c r="C20" s="136">
        <v>0</v>
      </c>
      <c r="E20" s="2"/>
    </row>
    <row r="21" spans="2:3" ht="12.75" outlineLevel="1">
      <c r="B21" s="105"/>
      <c r="C21" s="136">
        <f>SUM(C20:C20)</f>
        <v>0</v>
      </c>
    </row>
    <row r="22" spans="1:2" ht="12.75">
      <c r="A22" t="s">
        <v>1142</v>
      </c>
      <c r="B22" s="105">
        <f>C23</f>
        <v>0</v>
      </c>
    </row>
    <row r="23" spans="2:7" ht="12.75">
      <c r="B23" s="105"/>
      <c r="C23" s="136">
        <v>0</v>
      </c>
      <c r="E23" s="188"/>
      <c r="F23" s="106"/>
      <c r="G23" s="188"/>
    </row>
    <row r="24" spans="1:2" ht="12.75">
      <c r="A24" t="s">
        <v>1134</v>
      </c>
      <c r="B24" s="105">
        <f>C26</f>
        <v>0</v>
      </c>
    </row>
    <row r="25" spans="2:5" ht="12.75" outlineLevel="1">
      <c r="B25" s="105"/>
      <c r="E25" s="2"/>
    </row>
    <row r="26" spans="2:5" ht="12.75" outlineLevel="1">
      <c r="B26" s="105"/>
      <c r="C26" s="136">
        <f>SUM(C25:C25)</f>
        <v>0</v>
      </c>
      <c r="E26" s="2"/>
    </row>
    <row r="27" spans="1:6" s="68" customFormat="1" ht="12.75">
      <c r="A27" t="s">
        <v>504</v>
      </c>
      <c r="B27" s="156">
        <f>C28</f>
        <v>1209.83</v>
      </c>
      <c r="C27" s="151"/>
      <c r="D27" s="2"/>
      <c r="F27" s="228"/>
    </row>
    <row r="28" spans="1:6" s="68" customFormat="1" ht="12.75" outlineLevel="1">
      <c r="A28"/>
      <c r="B28" s="154"/>
      <c r="C28" s="295">
        <v>1209.83</v>
      </c>
      <c r="D28" s="1" t="s">
        <v>985</v>
      </c>
      <c r="E28" s="1" t="s">
        <v>370</v>
      </c>
      <c r="F28" s="228"/>
    </row>
    <row r="29" spans="1:6" s="68" customFormat="1" ht="12.75">
      <c r="A29" t="s">
        <v>972</v>
      </c>
      <c r="B29" s="156">
        <f>C30</f>
        <v>0</v>
      </c>
      <c r="C29" s="151"/>
      <c r="D29" s="2"/>
      <c r="E29" s="2"/>
      <c r="F29" s="228"/>
    </row>
    <row r="30" spans="1:6" s="68" customFormat="1" ht="12.75" outlineLevel="1">
      <c r="A30"/>
      <c r="B30" s="156"/>
      <c r="C30" s="156">
        <v>0</v>
      </c>
      <c r="D30" s="2"/>
      <c r="E30" s="2"/>
      <c r="F30" s="228"/>
    </row>
    <row r="31" spans="1:5" ht="12.75">
      <c r="A31" t="s">
        <v>955</v>
      </c>
      <c r="B31" s="105">
        <f>C32</f>
        <v>0</v>
      </c>
      <c r="E31" s="2"/>
    </row>
    <row r="32" spans="2:5" ht="12.75" outlineLevel="1">
      <c r="B32" s="105"/>
      <c r="C32" s="136">
        <v>0</v>
      </c>
      <c r="E32" s="2"/>
    </row>
    <row r="33" spans="1:6" s="68" customFormat="1" ht="12.75">
      <c r="A33" s="2" t="s">
        <v>518</v>
      </c>
      <c r="B33" s="156">
        <f>C34</f>
        <v>0</v>
      </c>
      <c r="C33" s="136"/>
      <c r="D33"/>
      <c r="F33" s="228"/>
    </row>
    <row r="34" spans="1:6" s="68" customFormat="1" ht="12.75" outlineLevel="1">
      <c r="A34" s="2"/>
      <c r="B34" s="156"/>
      <c r="C34" s="136">
        <v>0</v>
      </c>
      <c r="D34"/>
      <c r="E34" s="2"/>
      <c r="F34" s="228"/>
    </row>
    <row r="35" spans="1:6" s="68" customFormat="1" ht="12.75">
      <c r="A35" s="2"/>
      <c r="B35" s="156"/>
      <c r="C35" s="136"/>
      <c r="D35"/>
      <c r="E35" s="2"/>
      <c r="F35" s="228"/>
    </row>
    <row r="36" spans="1:5" ht="12.75">
      <c r="A36" t="s">
        <v>439</v>
      </c>
      <c r="B36" s="105">
        <f>SUM(B6:B33)</f>
        <v>10845.06</v>
      </c>
      <c r="E36" s="2"/>
    </row>
    <row r="37" spans="2:5" ht="12.75">
      <c r="B37" s="105"/>
      <c r="E37" s="2"/>
    </row>
    <row r="38" spans="1:5" ht="12.75">
      <c r="A38" t="s">
        <v>507</v>
      </c>
      <c r="B38" s="105">
        <f>C49</f>
        <v>5205.6288</v>
      </c>
      <c r="E38" s="2"/>
    </row>
    <row r="39" spans="2:5" ht="12.75">
      <c r="B39" s="105"/>
      <c r="C39" s="295">
        <f>B6*$B$4</f>
        <v>3019.4208</v>
      </c>
      <c r="D39" s="1" t="s">
        <v>591</v>
      </c>
      <c r="E39" s="1" t="s">
        <v>124</v>
      </c>
    </row>
    <row r="40" spans="2:5" ht="12.75">
      <c r="B40" s="105"/>
      <c r="C40" s="295">
        <f>B9*$B$4</f>
        <v>670.1664</v>
      </c>
      <c r="D40" s="1" t="s">
        <v>499</v>
      </c>
      <c r="E40" s="1" t="s">
        <v>199</v>
      </c>
    </row>
    <row r="41" spans="2:5" ht="12.75" outlineLevel="1">
      <c r="B41" s="105"/>
      <c r="C41" s="295">
        <f>$B$4*(B12-C17)</f>
        <v>933.5568</v>
      </c>
      <c r="D41" s="1" t="s">
        <v>1470</v>
      </c>
      <c r="E41" s="1" t="s">
        <v>124</v>
      </c>
    </row>
    <row r="42" spans="2:5" ht="12.75" outlineLevel="1">
      <c r="B42" s="105"/>
      <c r="C42" s="295">
        <f>$B$4*C17</f>
        <v>1.7664</v>
      </c>
      <c r="D42" s="1" t="s">
        <v>1469</v>
      </c>
      <c r="E42" s="1" t="s">
        <v>124</v>
      </c>
    </row>
    <row r="43" spans="2:5" ht="12.75" outlineLevel="1">
      <c r="B43" s="105"/>
      <c r="C43" s="136">
        <f>$B$4*B19</f>
        <v>0</v>
      </c>
      <c r="D43" t="s">
        <v>917</v>
      </c>
      <c r="E43" s="2"/>
    </row>
    <row r="44" spans="2:5" ht="12.75" outlineLevel="1">
      <c r="B44" s="105"/>
      <c r="C44" s="136">
        <f>$B$4*B31</f>
        <v>0</v>
      </c>
      <c r="D44" t="s">
        <v>959</v>
      </c>
      <c r="E44" s="188"/>
    </row>
    <row r="45" spans="2:6" ht="12.75" outlineLevel="1">
      <c r="B45" s="105"/>
      <c r="C45" s="136">
        <f>$B$4*B29</f>
        <v>0</v>
      </c>
      <c r="D45" t="s">
        <v>1467</v>
      </c>
      <c r="E45" s="2" t="s">
        <v>1428</v>
      </c>
      <c r="F45" s="129"/>
    </row>
    <row r="46" spans="2:5" ht="12.75" outlineLevel="1">
      <c r="B46" s="105"/>
      <c r="C46" s="136">
        <f>$B$4*B33</f>
        <v>0</v>
      </c>
      <c r="D46" s="2" t="s">
        <v>518</v>
      </c>
      <c r="E46" s="2" t="s">
        <v>1428</v>
      </c>
    </row>
    <row r="47" spans="2:4" ht="12.75" outlineLevel="1">
      <c r="B47" s="105"/>
      <c r="C47" s="136">
        <f>$B$4*B24</f>
        <v>0</v>
      </c>
      <c r="D47" t="s">
        <v>1134</v>
      </c>
    </row>
    <row r="48" spans="2:5" ht="12.75" outlineLevel="1">
      <c r="B48" s="105"/>
      <c r="C48" s="295">
        <f>$B$4*B27</f>
        <v>580.7184</v>
      </c>
      <c r="D48" s="1" t="s">
        <v>504</v>
      </c>
      <c r="E48" s="1" t="s">
        <v>370</v>
      </c>
    </row>
    <row r="49" spans="2:4" ht="12.75" outlineLevel="1">
      <c r="B49" s="105"/>
      <c r="C49" s="136">
        <f>SUM(C39:C48)</f>
        <v>5205.6288</v>
      </c>
      <c r="D49" t="s">
        <v>237</v>
      </c>
    </row>
    <row r="50" spans="1:2" ht="12.75">
      <c r="A50" t="s">
        <v>509</v>
      </c>
      <c r="B50" s="105">
        <f>B36+B38</f>
        <v>16050.6888</v>
      </c>
    </row>
    <row r="51" ht="12.75">
      <c r="B51" s="105"/>
    </row>
    <row r="52" spans="1:2" ht="12.75">
      <c r="A52" t="s">
        <v>1206</v>
      </c>
      <c r="B52" s="105">
        <f>C53</f>
        <v>0</v>
      </c>
    </row>
    <row r="53" spans="2:5" ht="12.75" outlineLevel="1">
      <c r="B53" s="105"/>
      <c r="C53" s="136">
        <v>0</v>
      </c>
      <c r="E53" s="188"/>
    </row>
    <row r="54" spans="1:5" ht="12.75">
      <c r="A54" t="s">
        <v>594</v>
      </c>
      <c r="B54" s="105">
        <f>C58</f>
        <v>15683.980000000001</v>
      </c>
      <c r="E54" s="2"/>
    </row>
    <row r="55" spans="2:5" ht="12.75" outlineLevel="1">
      <c r="B55" s="105"/>
      <c r="C55" s="295">
        <v>5609.14</v>
      </c>
      <c r="D55" s="1" t="s">
        <v>987</v>
      </c>
      <c r="E55" s="492" t="s">
        <v>199</v>
      </c>
    </row>
    <row r="56" spans="2:5" ht="12.75" outlineLevel="1">
      <c r="B56" s="105"/>
      <c r="C56" s="295">
        <v>7219.56</v>
      </c>
      <c r="D56" s="1" t="s">
        <v>986</v>
      </c>
      <c r="E56" s="492" t="s">
        <v>199</v>
      </c>
    </row>
    <row r="57" spans="2:5" ht="12.75" outlineLevel="1">
      <c r="B57" s="105"/>
      <c r="C57" s="295">
        <v>2855.28</v>
      </c>
      <c r="D57" s="1" t="s">
        <v>1440</v>
      </c>
      <c r="E57" s="492" t="s">
        <v>198</v>
      </c>
    </row>
    <row r="58" spans="1:5" ht="12.75" outlineLevel="1">
      <c r="A58" t="s">
        <v>368</v>
      </c>
      <c r="B58" s="105">
        <f>B54+B52</f>
        <v>15683.980000000001</v>
      </c>
      <c r="C58" s="105">
        <f>SUM(C55:C57)</f>
        <v>15683.980000000001</v>
      </c>
      <c r="E58" s="2"/>
    </row>
    <row r="59" spans="2:5" ht="12.75">
      <c r="B59" s="105"/>
      <c r="C59" s="105"/>
      <c r="E59" s="2"/>
    </row>
    <row r="60" spans="1:5" ht="12.75">
      <c r="A60" t="s">
        <v>415</v>
      </c>
      <c r="B60" s="105">
        <f>B58+B50</f>
        <v>31734.6688</v>
      </c>
      <c r="C60" s="105"/>
      <c r="E60" s="2"/>
    </row>
    <row r="61" ht="12.75">
      <c r="B61" s="105"/>
    </row>
    <row r="63" spans="3:5" ht="12.75">
      <c r="C63" s="188" t="s">
        <v>429</v>
      </c>
      <c r="D63" s="188" t="s">
        <v>1024</v>
      </c>
      <c r="E63" s="136"/>
    </row>
    <row r="64" spans="3:5" ht="12.75">
      <c r="C64" s="188" t="s">
        <v>370</v>
      </c>
      <c r="D64" s="188" t="s">
        <v>367</v>
      </c>
      <c r="E64" s="136">
        <f>B27+C48</f>
        <v>1790.5484</v>
      </c>
    </row>
    <row r="65" spans="3:6" ht="12.75">
      <c r="C65" s="2" t="s">
        <v>1428</v>
      </c>
      <c r="D65" s="2" t="s">
        <v>1431</v>
      </c>
      <c r="E65" s="105"/>
      <c r="F65" s="105"/>
    </row>
    <row r="66" spans="3:5" ht="12.75">
      <c r="C66" s="2" t="s">
        <v>1429</v>
      </c>
      <c r="D66" s="2" t="s">
        <v>1430</v>
      </c>
      <c r="E66" s="199"/>
    </row>
    <row r="67" spans="3:4" ht="12.75">
      <c r="C67" s="188" t="s">
        <v>182</v>
      </c>
      <c r="D67" s="188" t="s">
        <v>855</v>
      </c>
    </row>
    <row r="68" spans="3:4" ht="12.75">
      <c r="C68" s="188" t="s">
        <v>187</v>
      </c>
      <c r="D68" s="189" t="s">
        <v>1779</v>
      </c>
    </row>
    <row r="69" spans="3:4" ht="12.75">
      <c r="C69" s="188" t="s">
        <v>189</v>
      </c>
      <c r="D69" s="106" t="s">
        <v>851</v>
      </c>
    </row>
    <row r="70" spans="3:4" ht="12.75">
      <c r="C70" s="106" t="s">
        <v>190</v>
      </c>
      <c r="D70" s="106" t="s">
        <v>852</v>
      </c>
    </row>
    <row r="71" spans="3:4" ht="12.75">
      <c r="C71" s="188" t="s">
        <v>192</v>
      </c>
      <c r="D71" s="200" t="s">
        <v>1025</v>
      </c>
    </row>
    <row r="72" spans="3:5" ht="12.75">
      <c r="C72" s="188" t="s">
        <v>193</v>
      </c>
      <c r="D72" s="200" t="s">
        <v>1026</v>
      </c>
      <c r="E72" s="136"/>
    </row>
    <row r="73" spans="3:4" ht="12.75">
      <c r="C73" s="188" t="s">
        <v>195</v>
      </c>
      <c r="D73" s="200" t="s">
        <v>1029</v>
      </c>
    </row>
    <row r="74" spans="3:5" ht="12.75">
      <c r="C74" s="188" t="s">
        <v>196</v>
      </c>
      <c r="D74" s="200" t="s">
        <v>1030</v>
      </c>
      <c r="E74" s="105"/>
    </row>
    <row r="75" spans="3:5" ht="12.75">
      <c r="C75" s="188" t="s">
        <v>198</v>
      </c>
      <c r="D75" s="200" t="s">
        <v>1099</v>
      </c>
      <c r="E75" s="105">
        <f>C57</f>
        <v>2855.28</v>
      </c>
    </row>
    <row r="76" spans="3:7" ht="12.75">
      <c r="C76" s="188" t="s">
        <v>199</v>
      </c>
      <c r="D76" s="200" t="s">
        <v>1100</v>
      </c>
      <c r="E76" s="105">
        <f>C10+C40+C55+C56</f>
        <v>14895.0464</v>
      </c>
      <c r="F76" s="105"/>
      <c r="G76" s="105"/>
    </row>
    <row r="77" spans="3:5" ht="12.75">
      <c r="C77" s="188" t="s">
        <v>200</v>
      </c>
      <c r="D77" s="200" t="s">
        <v>1101</v>
      </c>
      <c r="E77" s="199"/>
    </row>
    <row r="78" spans="3:4" ht="12.75">
      <c r="C78" s="188" t="s">
        <v>17</v>
      </c>
      <c r="D78" s="200" t="s">
        <v>18</v>
      </c>
    </row>
    <row r="79" spans="3:4" ht="12.75">
      <c r="C79" s="106" t="s">
        <v>60</v>
      </c>
      <c r="D79" s="106" t="s">
        <v>847</v>
      </c>
    </row>
    <row r="80" spans="3:4" ht="12.75">
      <c r="C80" s="106" t="s">
        <v>62</v>
      </c>
      <c r="D80" s="106" t="s">
        <v>848</v>
      </c>
    </row>
    <row r="81" spans="3:4" ht="12.75">
      <c r="C81" s="106" t="s">
        <v>64</v>
      </c>
      <c r="D81" s="106" t="s">
        <v>853</v>
      </c>
    </row>
    <row r="82" spans="3:5" ht="12.75">
      <c r="C82" s="188" t="s">
        <v>68</v>
      </c>
      <c r="D82" s="106" t="s">
        <v>849</v>
      </c>
      <c r="E82" s="105"/>
    </row>
    <row r="83" spans="3:5" ht="12.75">
      <c r="C83" s="188" t="s">
        <v>70</v>
      </c>
      <c r="D83" s="106" t="s">
        <v>850</v>
      </c>
      <c r="E83" s="136"/>
    </row>
    <row r="84" spans="3:4" ht="12.75">
      <c r="C84" s="188" t="s">
        <v>89</v>
      </c>
      <c r="D84" s="106" t="s">
        <v>854</v>
      </c>
    </row>
    <row r="85" spans="3:5" ht="12.75">
      <c r="C85" s="106" t="s">
        <v>124</v>
      </c>
      <c r="D85" s="106" t="s">
        <v>846</v>
      </c>
      <c r="E85" s="136">
        <f>C7+C18+C39+C41+C42</f>
        <v>12193.794</v>
      </c>
    </row>
    <row r="86" spans="3:4" ht="12.75">
      <c r="C86" s="106" t="s">
        <v>1033</v>
      </c>
      <c r="D86" s="106" t="s">
        <v>1102</v>
      </c>
    </row>
    <row r="87" spans="3:5" ht="12.75">
      <c r="C87" s="106" t="s">
        <v>1062</v>
      </c>
      <c r="D87" s="106" t="s">
        <v>1103</v>
      </c>
      <c r="E87" s="136"/>
    </row>
    <row r="88" spans="3:5" ht="12.75">
      <c r="C88" s="106" t="s">
        <v>1104</v>
      </c>
      <c r="D88" s="106" t="s">
        <v>1105</v>
      </c>
      <c r="E88" s="105"/>
    </row>
    <row r="89" spans="4:5" ht="12.75">
      <c r="D89" s="200" t="s">
        <v>358</v>
      </c>
      <c r="E89" s="136">
        <f>SUM(E63:E88)</f>
        <v>31734.6688</v>
      </c>
    </row>
    <row r="90" spans="4:5" ht="12.75">
      <c r="D90" s="200" t="s">
        <v>1106</v>
      </c>
      <c r="E90" s="105">
        <f>B60-E89</f>
        <v>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102"/>
  <sheetViews>
    <sheetView workbookViewId="0" topLeftCell="A15">
      <selection activeCell="D56" sqref="D56"/>
    </sheetView>
  </sheetViews>
  <sheetFormatPr defaultColWidth="9.140625" defaultRowHeight="12.75" outlineLevelRow="1"/>
  <cols>
    <col min="1" max="1" width="33.140625" style="2" bestFit="1" customWidth="1"/>
    <col min="2" max="2" width="12.00390625" style="2" customWidth="1"/>
    <col min="3" max="3" width="11.140625" style="151" customWidth="1"/>
    <col min="4" max="4" width="33.7109375" style="2" customWidth="1"/>
    <col min="5" max="5" width="12.140625" style="2" customWidth="1"/>
    <col min="6" max="6" width="11.57421875" style="300" customWidth="1"/>
    <col min="7" max="16384" width="9.140625" style="2" customWidth="1"/>
  </cols>
  <sheetData>
    <row r="2" spans="1:3" ht="12.75">
      <c r="A2" s="2" t="s">
        <v>392</v>
      </c>
      <c r="B2" s="2" t="s">
        <v>825</v>
      </c>
      <c r="C2" s="2"/>
    </row>
    <row r="3" spans="1:3" ht="12.75">
      <c r="A3" s="2" t="s">
        <v>394</v>
      </c>
      <c r="B3" s="2">
        <v>509604</v>
      </c>
      <c r="C3" s="2"/>
    </row>
    <row r="4" spans="1:3" ht="12.75">
      <c r="A4" s="2" t="s">
        <v>369</v>
      </c>
      <c r="B4" s="2">
        <v>0.48</v>
      </c>
      <c r="C4" s="2"/>
    </row>
    <row r="5" ht="12.75">
      <c r="B5" s="2" t="s">
        <v>395</v>
      </c>
    </row>
    <row r="6" spans="1:2" ht="12.75">
      <c r="A6" s="2" t="s">
        <v>591</v>
      </c>
      <c r="B6" s="151">
        <f>C8</f>
        <v>9435.69</v>
      </c>
    </row>
    <row r="7" spans="2:5" ht="12.75" outlineLevel="1">
      <c r="B7" s="156"/>
      <c r="C7" s="151">
        <f>3*3145.23</f>
        <v>9435.69</v>
      </c>
      <c r="D7" s="2" t="s">
        <v>397</v>
      </c>
      <c r="E7" s="2" t="s">
        <v>124</v>
      </c>
    </row>
    <row r="8" spans="2:4" ht="12.75" outlineLevel="1">
      <c r="B8" s="156"/>
      <c r="C8" s="151">
        <f>SUM(C7:C7)</f>
        <v>9435.69</v>
      </c>
      <c r="D8" s="2" t="s">
        <v>358</v>
      </c>
    </row>
    <row r="9" spans="1:2" ht="12.75">
      <c r="A9" s="2" t="s">
        <v>499</v>
      </c>
      <c r="B9" s="156">
        <f>C11</f>
        <v>2094.27</v>
      </c>
    </row>
    <row r="10" spans="2:5" ht="12.75" outlineLevel="1">
      <c r="B10" s="156"/>
      <c r="C10" s="151">
        <f>3*698.09</f>
        <v>2094.27</v>
      </c>
      <c r="D10" s="2" t="s">
        <v>398</v>
      </c>
      <c r="E10" s="2" t="s">
        <v>199</v>
      </c>
    </row>
    <row r="11" spans="2:4" ht="12.75" outlineLevel="1">
      <c r="B11" s="156"/>
      <c r="C11" s="151">
        <f>SUM(C10:C10)</f>
        <v>2094.27</v>
      </c>
      <c r="D11" s="2" t="s">
        <v>358</v>
      </c>
    </row>
    <row r="12" spans="1:2" ht="12.75">
      <c r="A12" s="2" t="s">
        <v>1424</v>
      </c>
      <c r="B12" s="156">
        <f>C18</f>
        <v>2424.4500000000003</v>
      </c>
    </row>
    <row r="13" spans="2:5" ht="12.75">
      <c r="B13" s="156"/>
      <c r="C13" s="151">
        <f>3*297.25</f>
        <v>891.75</v>
      </c>
      <c r="D13" s="2" t="s">
        <v>980</v>
      </c>
      <c r="E13" s="2" t="s">
        <v>124</v>
      </c>
    </row>
    <row r="14" spans="2:5" ht="12.75" outlineLevel="1">
      <c r="B14" s="156"/>
      <c r="C14" s="151">
        <f>2*374.02</f>
        <v>748.04</v>
      </c>
      <c r="D14" s="2" t="s">
        <v>981</v>
      </c>
      <c r="E14" s="2" t="s">
        <v>124</v>
      </c>
    </row>
    <row r="15" spans="2:5" ht="12.75" outlineLevel="1">
      <c r="B15" s="156"/>
      <c r="C15" s="151">
        <f>2*29.98</f>
        <v>59.96</v>
      </c>
      <c r="D15" s="2" t="s">
        <v>982</v>
      </c>
      <c r="E15" s="2" t="s">
        <v>124</v>
      </c>
    </row>
    <row r="16" spans="2:5" ht="12.75" outlineLevel="1">
      <c r="B16" s="156"/>
      <c r="C16" s="151">
        <f>240.61+2*237.22</f>
        <v>715.05</v>
      </c>
      <c r="D16" s="2" t="s">
        <v>983</v>
      </c>
      <c r="E16" s="2" t="s">
        <v>124</v>
      </c>
    </row>
    <row r="17" spans="2:5" ht="12.75" outlineLevel="1">
      <c r="B17" s="156"/>
      <c r="C17" s="151">
        <f>1.89+2*3.88</f>
        <v>9.65</v>
      </c>
      <c r="D17" s="2" t="s">
        <v>984</v>
      </c>
      <c r="E17" s="2" t="s">
        <v>124</v>
      </c>
    </row>
    <row r="18" spans="2:6" ht="12.75" outlineLevel="1">
      <c r="B18" s="156"/>
      <c r="C18" s="151">
        <f>SUM(C13:C17)</f>
        <v>2424.4500000000003</v>
      </c>
      <c r="D18" s="2" t="s">
        <v>358</v>
      </c>
      <c r="F18" s="300">
        <f>B6+B9+B12</f>
        <v>13954.410000000002</v>
      </c>
    </row>
    <row r="19" spans="1:2" ht="12.75">
      <c r="A19" s="2" t="s">
        <v>917</v>
      </c>
      <c r="B19" s="156">
        <f>C21</f>
        <v>0</v>
      </c>
    </row>
    <row r="20" spans="2:3" ht="12.75" outlineLevel="1">
      <c r="B20" s="156"/>
      <c r="C20" s="151">
        <v>0</v>
      </c>
    </row>
    <row r="21" spans="2:3" ht="12.75" outlineLevel="1">
      <c r="B21" s="156"/>
      <c r="C21" s="151">
        <f>SUM(C20:C20)</f>
        <v>0</v>
      </c>
    </row>
    <row r="22" spans="1:2" ht="12.75">
      <c r="A22" s="2" t="s">
        <v>1142</v>
      </c>
      <c r="B22" s="156">
        <f>C23</f>
        <v>0</v>
      </c>
    </row>
    <row r="23" spans="2:7" ht="12.75">
      <c r="B23" s="156"/>
      <c r="C23" s="151">
        <v>0</v>
      </c>
      <c r="E23" s="188"/>
      <c r="F23" s="188"/>
      <c r="G23" s="188"/>
    </row>
    <row r="24" spans="1:2" ht="12.75">
      <c r="A24" s="2" t="s">
        <v>1134</v>
      </c>
      <c r="B24" s="156">
        <f>C26</f>
        <v>0</v>
      </c>
    </row>
    <row r="25" ht="12.75" outlineLevel="1">
      <c r="B25" s="156"/>
    </row>
    <row r="26" spans="2:3" ht="12.75" outlineLevel="1">
      <c r="B26" s="156"/>
      <c r="C26" s="151">
        <f>SUM(C25:C25)</f>
        <v>0</v>
      </c>
    </row>
    <row r="27" spans="1:6" s="68" customFormat="1" ht="12.75">
      <c r="A27" s="2" t="s">
        <v>504</v>
      </c>
      <c r="B27" s="156">
        <f>C30</f>
        <v>531.03</v>
      </c>
      <c r="C27" s="151"/>
      <c r="D27" s="2"/>
      <c r="F27" s="228"/>
    </row>
    <row r="28" spans="1:6" s="68" customFormat="1" ht="12.75" outlineLevel="1">
      <c r="A28" s="2"/>
      <c r="B28" s="154"/>
      <c r="C28" s="151">
        <v>24</v>
      </c>
      <c r="D28" s="2" t="s">
        <v>399</v>
      </c>
      <c r="E28" s="2" t="s">
        <v>370</v>
      </c>
      <c r="F28" s="228"/>
    </row>
    <row r="29" spans="1:6" s="68" customFormat="1" ht="12.75" outlineLevel="1">
      <c r="A29" s="2"/>
      <c r="B29" s="154"/>
      <c r="C29" s="151">
        <v>507.03</v>
      </c>
      <c r="D29" s="2" t="s">
        <v>400</v>
      </c>
      <c r="E29" s="2" t="s">
        <v>370</v>
      </c>
      <c r="F29" s="228"/>
    </row>
    <row r="30" spans="1:6" s="68" customFormat="1" ht="12.75" outlineLevel="1">
      <c r="A30" s="2"/>
      <c r="B30" s="154"/>
      <c r="C30" s="151">
        <f>SUM(C28:C29)</f>
        <v>531.03</v>
      </c>
      <c r="D30" s="2"/>
      <c r="E30" s="2"/>
      <c r="F30" s="228"/>
    </row>
    <row r="31" spans="1:6" s="68" customFormat="1" ht="12.75">
      <c r="A31" s="2" t="s">
        <v>972</v>
      </c>
      <c r="B31" s="156">
        <f>C34</f>
        <v>-3301.7200000000003</v>
      </c>
      <c r="C31" s="151"/>
      <c r="D31" s="2"/>
      <c r="E31" s="2"/>
      <c r="F31" s="228"/>
    </row>
    <row r="32" spans="1:6" s="68" customFormat="1" ht="12.75" outlineLevel="1">
      <c r="A32" s="2"/>
      <c r="B32" s="156"/>
      <c r="C32" s="156">
        <v>-1599.97</v>
      </c>
      <c r="D32" s="2" t="s">
        <v>401</v>
      </c>
      <c r="E32" s="188" t="s">
        <v>198</v>
      </c>
      <c r="F32" s="228"/>
    </row>
    <row r="33" spans="1:6" s="68" customFormat="1" ht="12.75" outlineLevel="1">
      <c r="A33" s="2"/>
      <c r="B33" s="156"/>
      <c r="C33" s="156">
        <v>-1701.75</v>
      </c>
      <c r="D33" s="2" t="s">
        <v>402</v>
      </c>
      <c r="E33" s="2" t="s">
        <v>1428</v>
      </c>
      <c r="F33" s="228"/>
    </row>
    <row r="34" spans="1:6" s="68" customFormat="1" ht="12.75" outlineLevel="1">
      <c r="A34" s="2"/>
      <c r="B34" s="156"/>
      <c r="C34" s="156">
        <f>SUM(C32:C33)</f>
        <v>-3301.7200000000003</v>
      </c>
      <c r="D34" s="2"/>
      <c r="E34" s="188"/>
      <c r="F34" s="228"/>
    </row>
    <row r="35" spans="1:2" ht="12.75">
      <c r="A35" s="2" t="s">
        <v>955</v>
      </c>
      <c r="B35" s="156">
        <f>C36</f>
        <v>0</v>
      </c>
    </row>
    <row r="36" spans="2:3" ht="12.75" outlineLevel="1">
      <c r="B36" s="156"/>
      <c r="C36" s="151">
        <v>0</v>
      </c>
    </row>
    <row r="37" spans="1:6" s="68" customFormat="1" ht="12.75">
      <c r="A37" s="2" t="s">
        <v>518</v>
      </c>
      <c r="B37" s="156">
        <f>C38</f>
        <v>0</v>
      </c>
      <c r="C37" s="151"/>
      <c r="D37" s="2"/>
      <c r="F37" s="228"/>
    </row>
    <row r="38" spans="1:6" s="68" customFormat="1" ht="12.75" outlineLevel="1">
      <c r="A38" s="2"/>
      <c r="B38" s="156"/>
      <c r="C38" s="151">
        <v>0</v>
      </c>
      <c r="D38" s="2"/>
      <c r="E38" s="2"/>
      <c r="F38" s="228"/>
    </row>
    <row r="39" spans="1:6" s="68" customFormat="1" ht="12.75">
      <c r="A39" s="2"/>
      <c r="B39" s="156"/>
      <c r="C39" s="151"/>
      <c r="D39" s="2"/>
      <c r="E39" s="2"/>
      <c r="F39" s="228"/>
    </row>
    <row r="40" spans="1:2" ht="12.75">
      <c r="A40" s="2" t="s">
        <v>439</v>
      </c>
      <c r="B40" s="156">
        <f>SUM(B6:B37)</f>
        <v>11183.720000000001</v>
      </c>
    </row>
    <row r="41" ht="12.75">
      <c r="B41" s="156"/>
    </row>
    <row r="42" spans="1:2" ht="12.75">
      <c r="A42" s="2" t="s">
        <v>507</v>
      </c>
      <c r="B42" s="156">
        <f>C54</f>
        <v>5368.1856</v>
      </c>
    </row>
    <row r="43" spans="2:5" ht="12.75">
      <c r="B43" s="156"/>
      <c r="C43" s="151">
        <f>B6*$B$4</f>
        <v>4529.1312</v>
      </c>
      <c r="D43" s="2" t="s">
        <v>591</v>
      </c>
      <c r="E43" s="2" t="s">
        <v>124</v>
      </c>
    </row>
    <row r="44" spans="2:5" ht="12.75">
      <c r="B44" s="156"/>
      <c r="C44" s="151">
        <f>B9*$B$4</f>
        <v>1005.2496</v>
      </c>
      <c r="D44" s="2" t="s">
        <v>499</v>
      </c>
      <c r="E44" s="2" t="s">
        <v>199</v>
      </c>
    </row>
    <row r="45" spans="2:5" ht="12.75" outlineLevel="1">
      <c r="B45" s="156"/>
      <c r="C45" s="151">
        <f>$B$4*(B12-C17)</f>
        <v>1159.104</v>
      </c>
      <c r="D45" s="2" t="s">
        <v>1470</v>
      </c>
      <c r="E45" s="2" t="s">
        <v>124</v>
      </c>
    </row>
    <row r="46" spans="2:5" ht="12.75" outlineLevel="1">
      <c r="B46" s="156"/>
      <c r="C46" s="151">
        <f>$B$4*C17</f>
        <v>4.632</v>
      </c>
      <c r="D46" s="2" t="s">
        <v>1469</v>
      </c>
      <c r="E46" s="2" t="s">
        <v>124</v>
      </c>
    </row>
    <row r="47" spans="2:4" ht="12.75" outlineLevel="1">
      <c r="B47" s="156"/>
      <c r="C47" s="151">
        <f>$B$4*B19</f>
        <v>0</v>
      </c>
      <c r="D47" s="2" t="s">
        <v>917</v>
      </c>
    </row>
    <row r="48" spans="2:5" ht="12.75" outlineLevel="1">
      <c r="B48" s="156"/>
      <c r="C48" s="151">
        <f>$B$4*B35</f>
        <v>0</v>
      </c>
      <c r="D48" s="2" t="s">
        <v>959</v>
      </c>
      <c r="E48" s="188"/>
    </row>
    <row r="49" spans="2:5" ht="12.75" outlineLevel="1">
      <c r="B49" s="156"/>
      <c r="C49" s="151">
        <f>$B$4*C33</f>
        <v>-816.8399999999999</v>
      </c>
      <c r="D49" s="2" t="s">
        <v>404</v>
      </c>
      <c r="E49" s="2" t="s">
        <v>1428</v>
      </c>
    </row>
    <row r="50" spans="2:6" ht="12.75" outlineLevel="1">
      <c r="B50" s="156"/>
      <c r="C50" s="151">
        <f>$B$4*C32</f>
        <v>-767.9856</v>
      </c>
      <c r="D50" s="2" t="s">
        <v>403</v>
      </c>
      <c r="E50" s="188" t="s">
        <v>198</v>
      </c>
      <c r="F50" s="498"/>
    </row>
    <row r="51" spans="2:5" ht="12.75" outlineLevel="1">
      <c r="B51" s="156"/>
      <c r="C51" s="151">
        <f>$B$4*B37</f>
        <v>0</v>
      </c>
      <c r="D51" s="2" t="s">
        <v>518</v>
      </c>
      <c r="E51" s="2" t="s">
        <v>1428</v>
      </c>
    </row>
    <row r="52" spans="2:4" ht="12.75" outlineLevel="1">
      <c r="B52" s="156"/>
      <c r="C52" s="151">
        <f>$B$4*B24</f>
        <v>0</v>
      </c>
      <c r="D52" s="2" t="s">
        <v>1134</v>
      </c>
    </row>
    <row r="53" spans="2:5" ht="12.75" outlineLevel="1">
      <c r="B53" s="156"/>
      <c r="C53" s="151">
        <f>$B$4*B27</f>
        <v>254.8944</v>
      </c>
      <c r="D53" s="2" t="s">
        <v>504</v>
      </c>
      <c r="E53" s="2" t="s">
        <v>370</v>
      </c>
    </row>
    <row r="54" spans="2:4" ht="12.75" outlineLevel="1">
      <c r="B54" s="156"/>
      <c r="C54" s="151">
        <f>SUM(C43:C53)</f>
        <v>5368.1856</v>
      </c>
      <c r="D54" s="2" t="s">
        <v>237</v>
      </c>
    </row>
    <row r="55" spans="1:2" ht="12.75">
      <c r="A55" s="2" t="s">
        <v>509</v>
      </c>
      <c r="B55" s="156">
        <f>B40+B42</f>
        <v>16551.905600000002</v>
      </c>
    </row>
    <row r="56" ht="12.75">
      <c r="B56" s="156"/>
    </row>
    <row r="57" spans="1:2" ht="12.75">
      <c r="A57" s="2" t="s">
        <v>1206</v>
      </c>
      <c r="B57" s="156">
        <f>C58</f>
        <v>0</v>
      </c>
    </row>
    <row r="58" spans="2:5" ht="12.75" outlineLevel="1">
      <c r="B58" s="156"/>
      <c r="C58" s="151">
        <v>0</v>
      </c>
      <c r="E58" s="188"/>
    </row>
    <row r="59" spans="1:2" ht="12.75">
      <c r="A59" s="2" t="s">
        <v>594</v>
      </c>
      <c r="B59" s="156">
        <f>C63</f>
        <v>15683.980000000001</v>
      </c>
    </row>
    <row r="60" spans="2:5" ht="12.75" outlineLevel="1">
      <c r="B60" s="156"/>
      <c r="C60" s="151">
        <v>5609.14</v>
      </c>
      <c r="D60" s="2" t="s">
        <v>987</v>
      </c>
      <c r="E60" s="188" t="s">
        <v>199</v>
      </c>
    </row>
    <row r="61" spans="2:5" ht="12.75" outlineLevel="1">
      <c r="B61" s="156"/>
      <c r="C61" s="151">
        <v>7219.56</v>
      </c>
      <c r="D61" s="2" t="s">
        <v>986</v>
      </c>
      <c r="E61" s="188" t="s">
        <v>199</v>
      </c>
    </row>
    <row r="62" spans="2:5" ht="12.75" outlineLevel="1">
      <c r="B62" s="156"/>
      <c r="C62" s="151">
        <v>2855.28</v>
      </c>
      <c r="D62" s="2" t="s">
        <v>1440</v>
      </c>
      <c r="E62" s="188" t="s">
        <v>198</v>
      </c>
    </row>
    <row r="63" spans="1:3" ht="12.75" outlineLevel="1">
      <c r="A63" s="2" t="s">
        <v>368</v>
      </c>
      <c r="B63" s="156">
        <f>B59+B57</f>
        <v>15683.980000000001</v>
      </c>
      <c r="C63" s="156">
        <f>SUM(C60:C62)</f>
        <v>15683.980000000001</v>
      </c>
    </row>
    <row r="64" spans="2:3" ht="12.75" outlineLevel="1">
      <c r="B64" s="156"/>
      <c r="C64" s="156"/>
    </row>
    <row r="65" spans="1:3" ht="12.75">
      <c r="A65" s="2" t="s">
        <v>405</v>
      </c>
      <c r="B65" s="156">
        <f>C68</f>
        <v>3301.7200000000003</v>
      </c>
      <c r="C65" s="156"/>
    </row>
    <row r="66" spans="2:5" ht="12.75" outlineLevel="1">
      <c r="B66" s="156"/>
      <c r="C66" s="151">
        <v>1701.75</v>
      </c>
      <c r="D66" s="2" t="s">
        <v>406</v>
      </c>
      <c r="E66" s="2" t="s">
        <v>1428</v>
      </c>
    </row>
    <row r="67" spans="2:5" ht="12.75" outlineLevel="1">
      <c r="B67" s="156"/>
      <c r="C67" s="151">
        <v>1599.97</v>
      </c>
      <c r="D67" s="2" t="s">
        <v>407</v>
      </c>
      <c r="E67" s="188" t="s">
        <v>198</v>
      </c>
    </row>
    <row r="68" spans="2:3" ht="12.75" outlineLevel="1">
      <c r="B68" s="156"/>
      <c r="C68" s="156">
        <f>SUM(C66:C67)</f>
        <v>3301.7200000000003</v>
      </c>
    </row>
    <row r="69" spans="2:3" ht="12.75">
      <c r="B69" s="156"/>
      <c r="C69" s="156"/>
    </row>
    <row r="70" spans="2:3" ht="12.75">
      <c r="B70" s="156"/>
      <c r="C70" s="156"/>
    </row>
    <row r="71" spans="2:3" ht="12.75">
      <c r="B71" s="156"/>
      <c r="C71" s="156"/>
    </row>
    <row r="72" spans="1:3" ht="12.75">
      <c r="A72" s="2" t="s">
        <v>415</v>
      </c>
      <c r="B72" s="156">
        <f>B63+B55</f>
        <v>32235.8856</v>
      </c>
      <c r="C72" s="156"/>
    </row>
    <row r="73" ht="12.75">
      <c r="B73" s="156"/>
    </row>
    <row r="75" spans="3:5" ht="12.75">
      <c r="C75" s="188" t="s">
        <v>429</v>
      </c>
      <c r="D75" s="188" t="s">
        <v>1024</v>
      </c>
      <c r="E75" s="151"/>
    </row>
    <row r="76" spans="3:5" ht="12.75">
      <c r="C76" s="188" t="s">
        <v>370</v>
      </c>
      <c r="D76" s="188" t="s">
        <v>367</v>
      </c>
      <c r="E76" s="151">
        <f>B27+C53</f>
        <v>785.9244</v>
      </c>
    </row>
    <row r="77" spans="3:6" ht="12.75">
      <c r="C77" s="2" t="s">
        <v>1428</v>
      </c>
      <c r="D77" s="2" t="s">
        <v>1431</v>
      </c>
      <c r="E77" s="156"/>
      <c r="F77" s="156"/>
    </row>
    <row r="78" spans="3:5" ht="12.75">
      <c r="C78" s="2" t="s">
        <v>1429</v>
      </c>
      <c r="D78" s="2" t="s">
        <v>1430</v>
      </c>
      <c r="E78" s="158"/>
    </row>
    <row r="79" spans="3:4" ht="12.75">
      <c r="C79" s="188" t="s">
        <v>182</v>
      </c>
      <c r="D79" s="188" t="s">
        <v>855</v>
      </c>
    </row>
    <row r="80" spans="3:4" ht="12.75">
      <c r="C80" s="188" t="s">
        <v>187</v>
      </c>
      <c r="D80" s="189" t="s">
        <v>1779</v>
      </c>
    </row>
    <row r="81" spans="3:4" ht="12.75">
      <c r="C81" s="188" t="s">
        <v>189</v>
      </c>
      <c r="D81" s="188" t="s">
        <v>851</v>
      </c>
    </row>
    <row r="82" spans="3:4" ht="12.75">
      <c r="C82" s="188" t="s">
        <v>190</v>
      </c>
      <c r="D82" s="188" t="s">
        <v>852</v>
      </c>
    </row>
    <row r="83" spans="3:4" ht="12.75">
      <c r="C83" s="188" t="s">
        <v>192</v>
      </c>
      <c r="D83" s="271" t="s">
        <v>1025</v>
      </c>
    </row>
    <row r="84" spans="3:5" ht="12.75">
      <c r="C84" s="188" t="s">
        <v>193</v>
      </c>
      <c r="D84" s="271" t="s">
        <v>1026</v>
      </c>
      <c r="E84" s="151"/>
    </row>
    <row r="85" spans="3:4" ht="12.75">
      <c r="C85" s="188" t="s">
        <v>195</v>
      </c>
      <c r="D85" s="271" t="s">
        <v>1029</v>
      </c>
    </row>
    <row r="86" spans="3:5" ht="12.75">
      <c r="C86" s="188" t="s">
        <v>196</v>
      </c>
      <c r="D86" s="271" t="s">
        <v>1030</v>
      </c>
      <c r="E86" s="156"/>
    </row>
    <row r="87" spans="3:5" ht="12.75">
      <c r="C87" s="188" t="s">
        <v>198</v>
      </c>
      <c r="D87" s="271" t="s">
        <v>1099</v>
      </c>
      <c r="E87" s="156">
        <f>C62</f>
        <v>2855.28</v>
      </c>
    </row>
    <row r="88" spans="3:7" ht="12.75">
      <c r="C88" s="188" t="s">
        <v>199</v>
      </c>
      <c r="D88" s="271" t="s">
        <v>1100</v>
      </c>
      <c r="E88" s="156">
        <f>C10+C44+C60+C61</f>
        <v>15928.2196</v>
      </c>
      <c r="F88" s="156"/>
      <c r="G88" s="156"/>
    </row>
    <row r="89" spans="3:5" ht="12.75">
      <c r="C89" s="188" t="s">
        <v>200</v>
      </c>
      <c r="D89" s="271" t="s">
        <v>1101</v>
      </c>
      <c r="E89" s="158"/>
    </row>
    <row r="90" spans="3:4" ht="12.75">
      <c r="C90" s="188" t="s">
        <v>17</v>
      </c>
      <c r="D90" s="271" t="s">
        <v>18</v>
      </c>
    </row>
    <row r="91" spans="3:4" ht="12.75">
      <c r="C91" s="188" t="s">
        <v>60</v>
      </c>
      <c r="D91" s="188" t="s">
        <v>847</v>
      </c>
    </row>
    <row r="92" spans="3:4" ht="12.75">
      <c r="C92" s="188" t="s">
        <v>62</v>
      </c>
      <c r="D92" s="188" t="s">
        <v>848</v>
      </c>
    </row>
    <row r="93" spans="3:4" ht="12.75">
      <c r="C93" s="188" t="s">
        <v>64</v>
      </c>
      <c r="D93" s="188" t="s">
        <v>853</v>
      </c>
    </row>
    <row r="94" spans="3:5" ht="12.75">
      <c r="C94" s="188" t="s">
        <v>68</v>
      </c>
      <c r="D94" s="188" t="s">
        <v>849</v>
      </c>
      <c r="E94" s="156"/>
    </row>
    <row r="95" spans="3:5" ht="12.75">
      <c r="C95" s="188" t="s">
        <v>70</v>
      </c>
      <c r="D95" s="188" t="s">
        <v>850</v>
      </c>
      <c r="E95" s="151"/>
    </row>
    <row r="96" spans="3:4" ht="12.75">
      <c r="C96" s="188" t="s">
        <v>89</v>
      </c>
      <c r="D96" s="188" t="s">
        <v>854</v>
      </c>
    </row>
    <row r="97" spans="3:5" ht="12.75">
      <c r="C97" s="188" t="s">
        <v>124</v>
      </c>
      <c r="D97" s="188" t="s">
        <v>846</v>
      </c>
      <c r="E97" s="151">
        <f>C7+C18+C43+C45+C46</f>
        <v>17553.007200000004</v>
      </c>
    </row>
    <row r="98" spans="3:4" ht="12.75">
      <c r="C98" s="188" t="s">
        <v>1033</v>
      </c>
      <c r="D98" s="188" t="s">
        <v>1102</v>
      </c>
    </row>
    <row r="99" spans="3:5" ht="12.75">
      <c r="C99" s="188" t="s">
        <v>1062</v>
      </c>
      <c r="D99" s="188" t="s">
        <v>1103</v>
      </c>
      <c r="E99" s="151"/>
    </row>
    <row r="100" spans="3:5" ht="12.75">
      <c r="C100" s="188" t="s">
        <v>1104</v>
      </c>
      <c r="D100" s="188" t="s">
        <v>1105</v>
      </c>
      <c r="E100" s="156"/>
    </row>
    <row r="101" spans="4:5" ht="12.75">
      <c r="D101" s="271" t="s">
        <v>358</v>
      </c>
      <c r="E101" s="151">
        <f>SUM(E75:E100)</f>
        <v>37122.431200000006</v>
      </c>
    </row>
    <row r="102" spans="4:5" ht="12.75">
      <c r="D102" s="271" t="s">
        <v>1106</v>
      </c>
      <c r="E102" s="156">
        <f>B72-E101</f>
        <v>-4886.545600000005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2:AK90"/>
  <sheetViews>
    <sheetView workbookViewId="0" topLeftCell="A1">
      <selection activeCell="A29" sqref="A29:IV30"/>
    </sheetView>
  </sheetViews>
  <sheetFormatPr defaultColWidth="9.140625" defaultRowHeight="12.75"/>
  <cols>
    <col min="1" max="1" width="12.57421875" style="0" bestFit="1" customWidth="1"/>
    <col min="2" max="2" width="28.57421875" style="0" customWidth="1"/>
    <col min="3" max="7" width="11.28125" style="0" hidden="1" customWidth="1"/>
    <col min="8" max="8" width="12.00390625" style="0" hidden="1" customWidth="1"/>
    <col min="9" max="17" width="11.28125" style="0" hidden="1" customWidth="1"/>
    <col min="18" max="18" width="11.28125" style="136" hidden="1" customWidth="1"/>
    <col min="19" max="23" width="11.8515625" style="0" hidden="1" customWidth="1"/>
    <col min="24" max="27" width="12.28125" style="0" hidden="1" customWidth="1"/>
    <col min="28" max="28" width="12.28125" style="0" customWidth="1"/>
    <col min="29" max="29" width="13.57421875" style="0" customWidth="1"/>
    <col min="30" max="30" width="12.28125" style="0" bestFit="1" customWidth="1"/>
    <col min="31" max="31" width="15.7109375" style="0" bestFit="1" customWidth="1"/>
    <col min="32" max="32" width="25.00390625" style="0" bestFit="1" customWidth="1"/>
    <col min="33" max="34" width="12.28125" style="0" bestFit="1" customWidth="1"/>
    <col min="35" max="35" width="11.7109375" style="0" bestFit="1" customWidth="1"/>
    <col min="36" max="36" width="11.8515625" style="0" bestFit="1" customWidth="1"/>
  </cols>
  <sheetData>
    <row r="2" spans="2:28" ht="12.75">
      <c r="B2" s="200" t="s">
        <v>1291</v>
      </c>
      <c r="Y2" s="259">
        <f>'FNAL Accounting'!G15+'FNAL Accounting'!G24+'FNAL Accounting'!G25</f>
        <v>56773.7</v>
      </c>
      <c r="Z2" s="259"/>
      <c r="AA2" s="259"/>
      <c r="AB2" s="259"/>
    </row>
    <row r="3" spans="2:28" ht="13.5" thickBot="1">
      <c r="B3" t="s">
        <v>1292</v>
      </c>
      <c r="Y3" s="259">
        <f>Y2+AI31</f>
        <v>463733.06</v>
      </c>
      <c r="Z3" s="259"/>
      <c r="AA3" s="259"/>
      <c r="AB3" s="259"/>
    </row>
    <row r="4" spans="1:36" ht="12.75">
      <c r="A4" s="174"/>
      <c r="B4" s="175"/>
      <c r="C4" s="161">
        <v>36557</v>
      </c>
      <c r="D4" s="161">
        <v>36586</v>
      </c>
      <c r="E4" s="161">
        <v>36617</v>
      </c>
      <c r="F4" s="162">
        <v>36647</v>
      </c>
      <c r="G4" s="163">
        <v>36678</v>
      </c>
      <c r="H4" s="163">
        <v>36708</v>
      </c>
      <c r="I4" s="164">
        <v>36739</v>
      </c>
      <c r="J4" s="161">
        <v>36770</v>
      </c>
      <c r="K4" s="161">
        <v>36800</v>
      </c>
      <c r="L4" s="161">
        <v>36831</v>
      </c>
      <c r="M4" s="161">
        <v>36861</v>
      </c>
      <c r="N4" s="161">
        <v>36892</v>
      </c>
      <c r="O4" s="161">
        <v>36923</v>
      </c>
      <c r="P4" s="162">
        <v>36951</v>
      </c>
      <c r="Q4" s="161">
        <v>36982</v>
      </c>
      <c r="R4" s="161">
        <v>37012</v>
      </c>
      <c r="S4" s="161">
        <v>37043</v>
      </c>
      <c r="T4" s="161">
        <v>37073</v>
      </c>
      <c r="U4" s="161">
        <v>37104</v>
      </c>
      <c r="V4" s="161">
        <v>37135</v>
      </c>
      <c r="W4" s="161">
        <v>37165</v>
      </c>
      <c r="X4" s="164">
        <v>37196</v>
      </c>
      <c r="Y4" s="161">
        <v>37226</v>
      </c>
      <c r="Z4" s="164">
        <v>37258</v>
      </c>
      <c r="AA4" s="164">
        <v>37289</v>
      </c>
      <c r="AB4" s="164">
        <v>37317</v>
      </c>
      <c r="AC4" s="164" t="s">
        <v>118</v>
      </c>
      <c r="AD4" s="264" t="s">
        <v>358</v>
      </c>
      <c r="AE4" s="264" t="s">
        <v>1293</v>
      </c>
      <c r="AF4" s="264" t="s">
        <v>1295</v>
      </c>
      <c r="AG4" s="265" t="s">
        <v>640</v>
      </c>
      <c r="AH4" s="265" t="s">
        <v>641</v>
      </c>
      <c r="AI4" s="266" t="s">
        <v>1288</v>
      </c>
      <c r="AJ4" s="266" t="s">
        <v>1294</v>
      </c>
    </row>
    <row r="5" spans="1:36" ht="12.75">
      <c r="A5" s="176" t="s">
        <v>429</v>
      </c>
      <c r="B5" s="177" t="s">
        <v>1024</v>
      </c>
      <c r="C5" s="190"/>
      <c r="D5" s="190"/>
      <c r="E5" s="190"/>
      <c r="F5" s="191" t="s">
        <v>227</v>
      </c>
      <c r="G5" s="192" t="s">
        <v>227</v>
      </c>
      <c r="H5" s="192" t="s">
        <v>227</v>
      </c>
      <c r="I5" s="193" t="s">
        <v>227</v>
      </c>
      <c r="J5" s="190" t="s">
        <v>227</v>
      </c>
      <c r="K5" s="190">
        <v>7041.17</v>
      </c>
      <c r="L5" s="190" t="s">
        <v>227</v>
      </c>
      <c r="M5" s="190" t="s">
        <v>227</v>
      </c>
      <c r="N5" s="190" t="s">
        <v>227</v>
      </c>
      <c r="O5" s="190" t="s">
        <v>227</v>
      </c>
      <c r="P5" s="191" t="s">
        <v>227</v>
      </c>
      <c r="Q5" s="190" t="s">
        <v>227</v>
      </c>
      <c r="R5" s="194">
        <v>14642.2912</v>
      </c>
      <c r="S5" s="190">
        <v>-10679.7984</v>
      </c>
      <c r="T5" s="193" t="s">
        <v>227</v>
      </c>
      <c r="U5" s="193">
        <v>15924.252399999998</v>
      </c>
      <c r="V5" s="193">
        <v>-15924.252399999998</v>
      </c>
      <c r="W5" s="190">
        <v>0</v>
      </c>
      <c r="X5" s="194"/>
      <c r="Y5" s="190">
        <v>2892.7</v>
      </c>
      <c r="Z5" s="193">
        <v>0</v>
      </c>
      <c r="AA5" s="193">
        <v>1863.39</v>
      </c>
      <c r="AB5" s="193">
        <v>6236.3352</v>
      </c>
      <c r="AC5" s="193">
        <v>3907.31024400005</v>
      </c>
      <c r="AD5" s="193">
        <f>SUM(C5:AC5)</f>
        <v>25903.39824400005</v>
      </c>
      <c r="AE5" s="193">
        <f>SUM(C5:W5)</f>
        <v>11003.662799999998</v>
      </c>
      <c r="AF5" s="193">
        <f aca="true" t="shared" si="0" ref="AF5:AF28">AE5-H66</f>
        <v>11003.662799999998</v>
      </c>
      <c r="AG5" s="190"/>
      <c r="AH5" s="190"/>
      <c r="AI5" s="243">
        <f>'FNAL Accounting'!G3</f>
        <v>11816.54</v>
      </c>
      <c r="AJ5" s="190">
        <f>AF5-AI5</f>
        <v>-812.8772000000026</v>
      </c>
    </row>
    <row r="6" spans="1:37" ht="12.75">
      <c r="A6" s="176" t="s">
        <v>370</v>
      </c>
      <c r="B6" s="177" t="s">
        <v>367</v>
      </c>
      <c r="C6" s="190"/>
      <c r="D6" s="190">
        <v>3554.5604</v>
      </c>
      <c r="E6" s="190">
        <v>403.8328</v>
      </c>
      <c r="F6" s="191">
        <v>1953.4668000000001</v>
      </c>
      <c r="G6" s="192">
        <v>6427.0923999999995</v>
      </c>
      <c r="H6" s="192" t="s">
        <v>227</v>
      </c>
      <c r="I6" s="193">
        <v>1903.65</v>
      </c>
      <c r="J6" s="190">
        <v>612.1132</v>
      </c>
      <c r="K6" s="190">
        <v>2293.4812</v>
      </c>
      <c r="L6" s="190">
        <v>7733.2664</v>
      </c>
      <c r="M6" s="190">
        <v>1581.59</v>
      </c>
      <c r="N6" s="190">
        <v>2219.2304</v>
      </c>
      <c r="O6" s="190">
        <v>5661.5476</v>
      </c>
      <c r="P6" s="191">
        <v>9449.6964</v>
      </c>
      <c r="Q6" s="190">
        <v>3647.4008</v>
      </c>
      <c r="R6" s="194">
        <v>9957.8988</v>
      </c>
      <c r="S6" s="190">
        <v>6031.8436</v>
      </c>
      <c r="T6" s="193">
        <v>7277.115599999999</v>
      </c>
      <c r="U6" s="193">
        <v>1962.0656</v>
      </c>
      <c r="V6" s="193">
        <v>347.504</v>
      </c>
      <c r="W6" s="190">
        <v>2901.3772</v>
      </c>
      <c r="X6" s="194">
        <v>462.5888</v>
      </c>
      <c r="Y6" s="190">
        <v>3654.6084</v>
      </c>
      <c r="Z6" s="193">
        <v>2495.5908</v>
      </c>
      <c r="AA6" s="193">
        <v>2852.8924</v>
      </c>
      <c r="AB6" s="193">
        <v>0</v>
      </c>
      <c r="AC6" s="193">
        <v>3570.9143999999997</v>
      </c>
      <c r="AD6" s="193">
        <f aca="true" t="shared" si="1" ref="AD6:AD30">SUM(C6:AC6)</f>
        <v>88955.32800000001</v>
      </c>
      <c r="AE6" s="193">
        <f aca="true" t="shared" si="2" ref="AE6:AE31">SUM(C6:W6)</f>
        <v>75918.73320000002</v>
      </c>
      <c r="AF6" s="193">
        <f t="shared" si="0"/>
        <v>49644.78160000002</v>
      </c>
      <c r="AG6" s="190"/>
      <c r="AH6" s="190"/>
      <c r="AI6" s="260">
        <f>'FNAL Accounting'!G20+'FNAL Accounting'!G21+'FNAL Accounting'!G22</f>
        <v>67395.16</v>
      </c>
      <c r="AJ6" s="190">
        <f aca="true" t="shared" si="3" ref="AJ6:AJ28">AF6-AI6</f>
        <v>-17750.378399999987</v>
      </c>
      <c r="AK6" s="194">
        <f>AJ6-R6-S6</f>
        <v>-33740.12079999999</v>
      </c>
    </row>
    <row r="7" spans="1:36" ht="12.75">
      <c r="A7" s="176" t="s">
        <v>182</v>
      </c>
      <c r="B7" s="177" t="s">
        <v>855</v>
      </c>
      <c r="C7" s="190"/>
      <c r="D7" s="192"/>
      <c r="E7" s="190" t="s">
        <v>227</v>
      </c>
      <c r="F7" t="s">
        <v>227</v>
      </c>
      <c r="G7" s="192" t="s">
        <v>227</v>
      </c>
      <c r="H7" s="192" t="s">
        <v>227</v>
      </c>
      <c r="I7" s="193" t="s">
        <v>227</v>
      </c>
      <c r="J7" s="190" t="s">
        <v>227</v>
      </c>
      <c r="K7" s="190" t="s">
        <v>227</v>
      </c>
      <c r="L7" s="190" t="s">
        <v>227</v>
      </c>
      <c r="M7" s="190" t="s">
        <v>227</v>
      </c>
      <c r="N7" t="s">
        <v>227</v>
      </c>
      <c r="O7" s="190" t="s">
        <v>227</v>
      </c>
      <c r="P7" s="191" t="s">
        <v>227</v>
      </c>
      <c r="Q7" s="190" t="s">
        <v>227</v>
      </c>
      <c r="R7" s="194" t="s">
        <v>227</v>
      </c>
      <c r="S7" s="190" t="s">
        <v>227</v>
      </c>
      <c r="T7" s="193" t="s">
        <v>227</v>
      </c>
      <c r="U7" s="193" t="s">
        <v>227</v>
      </c>
      <c r="V7" s="193" t="s">
        <v>227</v>
      </c>
      <c r="W7" s="190"/>
      <c r="X7" s="194"/>
      <c r="Y7" s="190"/>
      <c r="Z7" s="193"/>
      <c r="AA7" s="193"/>
      <c r="AB7" s="193"/>
      <c r="AC7" s="193"/>
      <c r="AD7" s="193">
        <f t="shared" si="1"/>
        <v>0</v>
      </c>
      <c r="AE7" s="193">
        <f t="shared" si="2"/>
        <v>0</v>
      </c>
      <c r="AF7" s="193">
        <f t="shared" si="0"/>
        <v>0</v>
      </c>
      <c r="AG7" s="190">
        <v>0</v>
      </c>
      <c r="AH7" s="190">
        <f>AG7-AD7</f>
        <v>0</v>
      </c>
      <c r="AI7" s="261"/>
      <c r="AJ7" s="190">
        <f t="shared" si="3"/>
        <v>0</v>
      </c>
    </row>
    <row r="8" spans="1:36" ht="12.75">
      <c r="A8" s="176" t="s">
        <v>187</v>
      </c>
      <c r="B8" s="178" t="s">
        <v>1779</v>
      </c>
      <c r="C8" s="190"/>
      <c r="D8" s="194">
        <v>2585.07</v>
      </c>
      <c r="E8" s="190" t="s">
        <v>227</v>
      </c>
      <c r="F8" s="191">
        <v>1830.4047999999998</v>
      </c>
      <c r="G8" s="192" t="s">
        <v>227</v>
      </c>
      <c r="H8" s="194">
        <v>33.25</v>
      </c>
      <c r="I8" s="193" t="s">
        <v>227</v>
      </c>
      <c r="J8" s="190" t="s">
        <v>227</v>
      </c>
      <c r="K8" s="190" t="s">
        <v>227</v>
      </c>
      <c r="L8" s="190" t="s">
        <v>227</v>
      </c>
      <c r="M8" s="190" t="s">
        <v>227</v>
      </c>
      <c r="N8" s="190" t="s">
        <v>227</v>
      </c>
      <c r="O8" s="190" t="s">
        <v>227</v>
      </c>
      <c r="P8" s="191" t="s">
        <v>227</v>
      </c>
      <c r="Q8" s="190" t="s">
        <v>227</v>
      </c>
      <c r="R8" s="194" t="s">
        <v>227</v>
      </c>
      <c r="S8" s="190" t="s">
        <v>227</v>
      </c>
      <c r="T8" s="193" t="s">
        <v>227</v>
      </c>
      <c r="U8" s="193" t="s">
        <v>227</v>
      </c>
      <c r="V8" s="193">
        <v>351.27520000000004</v>
      </c>
      <c r="W8" s="190"/>
      <c r="X8" s="192"/>
      <c r="Y8" s="190"/>
      <c r="Z8" s="193"/>
      <c r="AA8" s="193"/>
      <c r="AB8" s="193"/>
      <c r="AC8" s="193"/>
      <c r="AD8" s="193">
        <f t="shared" si="1"/>
        <v>4800</v>
      </c>
      <c r="AE8" s="193">
        <f t="shared" si="2"/>
        <v>4800</v>
      </c>
      <c r="AF8" s="193">
        <f t="shared" si="0"/>
        <v>2936.3452</v>
      </c>
      <c r="AG8" s="190">
        <f>'Task_Table 9_01'!N29</f>
        <v>4800</v>
      </c>
      <c r="AH8" s="190">
        <f>AG8-AD8</f>
        <v>0</v>
      </c>
      <c r="AI8" s="260">
        <f>'FNAL Accounting'!G19</f>
        <v>4899</v>
      </c>
      <c r="AJ8" s="190">
        <f t="shared" si="3"/>
        <v>-1962.6547999999998</v>
      </c>
    </row>
    <row r="9" spans="1:36" s="281" customFormat="1" ht="12.75">
      <c r="A9" s="272" t="s">
        <v>189</v>
      </c>
      <c r="B9" s="273" t="s">
        <v>851</v>
      </c>
      <c r="C9" s="274"/>
      <c r="D9" s="274">
        <v>3203.2083999999995</v>
      </c>
      <c r="E9" s="274">
        <v>1830.4047999999998</v>
      </c>
      <c r="F9" s="275">
        <v>1084.7512</v>
      </c>
      <c r="G9" s="276">
        <v>7628.2256</v>
      </c>
      <c r="H9" s="276">
        <v>1017.9728</v>
      </c>
      <c r="I9" s="277">
        <v>5445.8768</v>
      </c>
      <c r="J9" s="274">
        <v>3543.4871999999996</v>
      </c>
      <c r="K9" s="274">
        <v>2101.4008000000003</v>
      </c>
      <c r="L9" s="274">
        <v>3897.7472</v>
      </c>
      <c r="M9" s="274">
        <v>8122.27</v>
      </c>
      <c r="N9" s="274">
        <v>975.42</v>
      </c>
      <c r="O9" s="274">
        <v>1842.27</v>
      </c>
      <c r="P9" s="278">
        <v>-2480.28</v>
      </c>
      <c r="Q9" s="274" t="s">
        <v>227</v>
      </c>
      <c r="R9" s="278" t="s">
        <v>227</v>
      </c>
      <c r="S9" s="274">
        <v>-6426.0416000000005</v>
      </c>
      <c r="T9" s="277" t="s">
        <v>227</v>
      </c>
      <c r="U9" s="277" t="s">
        <v>227</v>
      </c>
      <c r="V9" s="277" t="s">
        <v>227</v>
      </c>
      <c r="W9" s="274"/>
      <c r="X9" s="278"/>
      <c r="Y9" s="274"/>
      <c r="Z9" s="277">
        <v>8761.88</v>
      </c>
      <c r="AA9" s="277"/>
      <c r="AB9" s="277"/>
      <c r="AC9" s="277"/>
      <c r="AD9" s="193">
        <f t="shared" si="1"/>
        <v>40548.59319999999</v>
      </c>
      <c r="AE9" s="277">
        <f t="shared" si="2"/>
        <v>31786.713199999987</v>
      </c>
      <c r="AF9" s="277">
        <f t="shared" si="0"/>
        <v>14767.616799999989</v>
      </c>
      <c r="AG9" s="274">
        <f>'Task_Table 9_01'!N32</f>
        <v>40584</v>
      </c>
      <c r="AH9" s="274">
        <f aca="true" t="shared" si="4" ref="AH9:AH25">AG9-AD9</f>
        <v>35.40680000001157</v>
      </c>
      <c r="AI9" s="280">
        <f>'FNAL Accounting'!G51</f>
        <v>7695.39</v>
      </c>
      <c r="AJ9" s="274">
        <f t="shared" si="3"/>
        <v>7072.2267999999885</v>
      </c>
    </row>
    <row r="10" spans="1:36" ht="12.75">
      <c r="A10" s="180" t="s">
        <v>190</v>
      </c>
      <c r="B10" s="179" t="s">
        <v>852</v>
      </c>
      <c r="C10" s="190"/>
      <c r="D10" s="190"/>
      <c r="E10" s="190" t="s">
        <v>227</v>
      </c>
      <c r="F10" t="s">
        <v>227</v>
      </c>
      <c r="G10" s="192" t="s">
        <v>227</v>
      </c>
      <c r="H10" s="192" t="s">
        <v>227</v>
      </c>
      <c r="I10" t="s">
        <v>227</v>
      </c>
      <c r="J10" s="190">
        <v>1474</v>
      </c>
      <c r="K10" s="190" t="s">
        <v>227</v>
      </c>
      <c r="L10" s="190" t="s">
        <v>227</v>
      </c>
      <c r="M10" t="s">
        <v>227</v>
      </c>
      <c r="N10" s="201" t="s">
        <v>227</v>
      </c>
      <c r="O10" s="190">
        <v>5399.06</v>
      </c>
      <c r="P10" s="191">
        <v>2.31</v>
      </c>
      <c r="Q10" s="190">
        <v>2581.4884</v>
      </c>
      <c r="R10" s="194">
        <v>-662.3783999999999</v>
      </c>
      <c r="S10" s="190">
        <v>6068.13</v>
      </c>
      <c r="T10" s="193" t="s">
        <v>227</v>
      </c>
      <c r="U10" s="194" t="s">
        <v>227</v>
      </c>
      <c r="V10" s="190" t="s">
        <v>227</v>
      </c>
      <c r="W10" s="190"/>
      <c r="X10" s="194"/>
      <c r="Y10" s="190"/>
      <c r="Z10" s="193"/>
      <c r="AA10" s="193"/>
      <c r="AB10" s="193"/>
      <c r="AC10" s="193"/>
      <c r="AD10" s="193">
        <f t="shared" si="1"/>
        <v>14862.61</v>
      </c>
      <c r="AE10" s="193">
        <f t="shared" si="2"/>
        <v>14862.61</v>
      </c>
      <c r="AF10" s="193">
        <f t="shared" si="0"/>
        <v>9463.55</v>
      </c>
      <c r="AG10" s="190">
        <f>'Task_Table 9_01'!N38</f>
        <v>15000</v>
      </c>
      <c r="AH10" s="190">
        <f t="shared" si="4"/>
        <v>137.38999999999942</v>
      </c>
      <c r="AI10" s="260">
        <f>'FNAL Accounting'!G52</f>
        <v>12877.76</v>
      </c>
      <c r="AJ10" s="190">
        <f t="shared" si="3"/>
        <v>-3414.210000000001</v>
      </c>
    </row>
    <row r="11" spans="1:36" s="281" customFormat="1" ht="12.75">
      <c r="A11" s="272" t="s">
        <v>192</v>
      </c>
      <c r="B11" s="273" t="s">
        <v>1025</v>
      </c>
      <c r="C11" s="274"/>
      <c r="D11" s="274"/>
      <c r="E11" s="274" t="s">
        <v>227</v>
      </c>
      <c r="F11" s="275" t="s">
        <v>227</v>
      </c>
      <c r="G11" s="276" t="s">
        <v>227</v>
      </c>
      <c r="H11" s="276" t="s">
        <v>227</v>
      </c>
      <c r="I11" s="277" t="s">
        <v>227</v>
      </c>
      <c r="J11" s="274" t="s">
        <v>227</v>
      </c>
      <c r="K11" s="274" t="s">
        <v>227</v>
      </c>
      <c r="L11" s="274" t="s">
        <v>227</v>
      </c>
      <c r="M11" s="274" t="s">
        <v>227</v>
      </c>
      <c r="N11" s="274" t="s">
        <v>227</v>
      </c>
      <c r="O11" s="274" t="s">
        <v>227</v>
      </c>
      <c r="P11" s="275" t="s">
        <v>227</v>
      </c>
      <c r="Q11" s="274">
        <v>5335.7552000000005</v>
      </c>
      <c r="R11" s="278" t="s">
        <v>227</v>
      </c>
      <c r="S11" s="274">
        <v>2012.8</v>
      </c>
      <c r="T11" s="277">
        <v>12470.32</v>
      </c>
      <c r="U11" s="277" t="s">
        <v>227</v>
      </c>
      <c r="V11" s="277">
        <v>3695.1308000000004</v>
      </c>
      <c r="W11" s="274">
        <v>35032.5072</v>
      </c>
      <c r="X11" s="278">
        <v>8863.2872</v>
      </c>
      <c r="Y11" s="274"/>
      <c r="Z11" s="277"/>
      <c r="AA11" s="277"/>
      <c r="AB11" s="277"/>
      <c r="AC11" s="277"/>
      <c r="AD11" s="193">
        <f t="shared" si="1"/>
        <v>67409.80040000001</v>
      </c>
      <c r="AE11" s="277">
        <f t="shared" si="2"/>
        <v>58546.5132</v>
      </c>
      <c r="AF11" s="277">
        <f t="shared" si="0"/>
        <v>58546.5132</v>
      </c>
      <c r="AG11" s="274">
        <f>'Task_Table 9_01'!N44</f>
        <v>68520</v>
      </c>
      <c r="AH11" s="274">
        <f aca="true" t="shared" si="5" ref="AH11:AH19">AG11-AD11</f>
        <v>1110.1995999999926</v>
      </c>
      <c r="AI11" s="280">
        <f>'FNAL Accounting'!G32</f>
        <v>19970.74</v>
      </c>
      <c r="AJ11" s="274">
        <f t="shared" si="3"/>
        <v>38575.773199999996</v>
      </c>
    </row>
    <row r="12" spans="1:36" ht="12.75">
      <c r="A12" s="176" t="s">
        <v>193</v>
      </c>
      <c r="B12" s="186" t="s">
        <v>1026</v>
      </c>
      <c r="C12" s="190"/>
      <c r="D12" s="190"/>
      <c r="E12" s="190" t="s">
        <v>227</v>
      </c>
      <c r="F12" s="191" t="s">
        <v>227</v>
      </c>
      <c r="G12" s="192" t="s">
        <v>227</v>
      </c>
      <c r="H12" s="192" t="s">
        <v>227</v>
      </c>
      <c r="I12" s="193">
        <v>494.4</v>
      </c>
      <c r="J12" s="190" t="s">
        <v>227</v>
      </c>
      <c r="K12" s="190" t="s">
        <v>227</v>
      </c>
      <c r="L12" t="s">
        <v>227</v>
      </c>
      <c r="M12" s="190">
        <v>3875.1</v>
      </c>
      <c r="N12" s="190">
        <v>4488.28</v>
      </c>
      <c r="O12" s="190" t="s">
        <v>227</v>
      </c>
      <c r="P12" s="191" t="s">
        <v>227</v>
      </c>
      <c r="Q12" s="190">
        <v>5929.368399999999</v>
      </c>
      <c r="R12" s="194" t="s">
        <v>227</v>
      </c>
      <c r="S12" s="190" t="s">
        <v>227</v>
      </c>
      <c r="T12" s="193">
        <v>6336.31</v>
      </c>
      <c r="U12" s="193">
        <v>2701.81</v>
      </c>
      <c r="V12" s="193">
        <v>1108.932</v>
      </c>
      <c r="W12" s="190">
        <v>265.588</v>
      </c>
      <c r="X12" s="194">
        <v>2635.8268</v>
      </c>
      <c r="Y12" s="190"/>
      <c r="Z12" s="193"/>
      <c r="AA12" s="193"/>
      <c r="AB12" s="193"/>
      <c r="AC12" s="193"/>
      <c r="AD12" s="193">
        <f t="shared" si="1"/>
        <v>27835.6152</v>
      </c>
      <c r="AE12" s="193">
        <f t="shared" si="2"/>
        <v>25199.7884</v>
      </c>
      <c r="AF12" s="193">
        <f t="shared" si="0"/>
        <v>24705.3884</v>
      </c>
      <c r="AG12" s="190">
        <f>'Task_Table 9_01'!N52</f>
        <v>30000</v>
      </c>
      <c r="AH12" s="190">
        <f t="shared" si="5"/>
        <v>2164.3848</v>
      </c>
      <c r="AI12" s="260">
        <f>'FNAL Accounting'!G33+'FNAL Accounting'!G35</f>
        <v>30750</v>
      </c>
      <c r="AJ12" s="190">
        <f t="shared" si="3"/>
        <v>-6044.6116</v>
      </c>
    </row>
    <row r="13" spans="1:36" s="281" customFormat="1" ht="12.75">
      <c r="A13" s="272" t="s">
        <v>195</v>
      </c>
      <c r="B13" s="273" t="s">
        <v>1029</v>
      </c>
      <c r="C13" s="274"/>
      <c r="D13" s="274"/>
      <c r="E13" s="274" t="s">
        <v>227</v>
      </c>
      <c r="F13" s="275" t="s">
        <v>227</v>
      </c>
      <c r="G13" s="276" t="s">
        <v>227</v>
      </c>
      <c r="H13" s="276" t="s">
        <v>227</v>
      </c>
      <c r="I13" s="277" t="s">
        <v>227</v>
      </c>
      <c r="J13" s="274" t="s">
        <v>227</v>
      </c>
      <c r="K13" s="274" t="s">
        <v>227</v>
      </c>
      <c r="L13" s="274" t="s">
        <v>227</v>
      </c>
      <c r="M13" s="274" t="s">
        <v>227</v>
      </c>
      <c r="N13" s="274" t="s">
        <v>227</v>
      </c>
      <c r="O13" s="274" t="s">
        <v>227</v>
      </c>
      <c r="P13" s="275" t="s">
        <v>227</v>
      </c>
      <c r="Q13" s="274" t="s">
        <v>227</v>
      </c>
      <c r="R13" s="278" t="s">
        <v>227</v>
      </c>
      <c r="S13" s="274" t="s">
        <v>227</v>
      </c>
      <c r="T13" s="277" t="s">
        <v>227</v>
      </c>
      <c r="U13" s="277">
        <v>22169.42</v>
      </c>
      <c r="V13" s="277" t="s">
        <v>227</v>
      </c>
      <c r="W13" s="274"/>
      <c r="X13" s="278">
        <v>5899.3</v>
      </c>
      <c r="Y13" s="274">
        <v>13964.927200000002</v>
      </c>
      <c r="Z13" s="277">
        <v>7741.7008000000005</v>
      </c>
      <c r="AA13" s="279"/>
      <c r="AB13" s="277"/>
      <c r="AC13" s="277"/>
      <c r="AD13" s="193">
        <f t="shared" si="1"/>
        <v>49775.348</v>
      </c>
      <c r="AE13" s="277">
        <f t="shared" si="2"/>
        <v>22169.42</v>
      </c>
      <c r="AF13" s="277">
        <f t="shared" si="0"/>
        <v>0</v>
      </c>
      <c r="AG13" s="274">
        <f>'Task_Table 9_01'!N57</f>
        <v>50011.29</v>
      </c>
      <c r="AH13" s="274">
        <f t="shared" si="5"/>
        <v>235.94200000000274</v>
      </c>
      <c r="AI13" s="279"/>
      <c r="AJ13" s="274">
        <f t="shared" si="3"/>
        <v>0</v>
      </c>
    </row>
    <row r="14" spans="1:36" ht="12.75">
      <c r="A14" s="176" t="s">
        <v>196</v>
      </c>
      <c r="B14" s="186" t="s">
        <v>1030</v>
      </c>
      <c r="C14" s="190"/>
      <c r="D14" s="190"/>
      <c r="E14" s="190" t="s">
        <v>227</v>
      </c>
      <c r="F14" s="191" t="s">
        <v>227</v>
      </c>
      <c r="G14" s="192" t="s">
        <v>227</v>
      </c>
      <c r="H14" s="192" t="s">
        <v>227</v>
      </c>
      <c r="I14" s="193" t="s">
        <v>227</v>
      </c>
      <c r="J14" s="190" t="s">
        <v>227</v>
      </c>
      <c r="K14" s="190" t="s">
        <v>227</v>
      </c>
      <c r="L14" s="190">
        <v>2492.5</v>
      </c>
      <c r="M14" s="190" t="s">
        <v>227</v>
      </c>
      <c r="N14" s="190" t="s">
        <v>227</v>
      </c>
      <c r="O14" s="190" t="s">
        <v>227</v>
      </c>
      <c r="P14" s="191" t="s">
        <v>227</v>
      </c>
      <c r="Q14" s="190" t="s">
        <v>227</v>
      </c>
      <c r="R14" s="194" t="s">
        <v>227</v>
      </c>
      <c r="S14" s="190" t="s">
        <v>227</v>
      </c>
      <c r="T14" s="193" t="s">
        <v>227</v>
      </c>
      <c r="U14" s="193" t="s">
        <v>227</v>
      </c>
      <c r="V14" s="193" t="s">
        <v>227</v>
      </c>
      <c r="W14" s="190"/>
      <c r="X14" s="194"/>
      <c r="Y14" s="190">
        <v>6321.63</v>
      </c>
      <c r="Z14" s="193">
        <v>4889.95</v>
      </c>
      <c r="AA14" s="193">
        <v>1.82</v>
      </c>
      <c r="AB14" s="193">
        <v>855.03</v>
      </c>
      <c r="AC14" s="193">
        <v>402.95</v>
      </c>
      <c r="AD14" s="193">
        <f t="shared" si="1"/>
        <v>14963.880000000003</v>
      </c>
      <c r="AE14" s="193">
        <f t="shared" si="2"/>
        <v>2492.5</v>
      </c>
      <c r="AF14" s="193">
        <f t="shared" si="0"/>
        <v>2492.5</v>
      </c>
      <c r="AG14" s="190">
        <f>'Task_Table 9_01'!N63</f>
        <v>20000</v>
      </c>
      <c r="AH14" s="190">
        <f t="shared" si="5"/>
        <v>5036.119999999997</v>
      </c>
      <c r="AI14" s="261"/>
      <c r="AJ14" s="190">
        <f t="shared" si="3"/>
        <v>2492.5</v>
      </c>
    </row>
    <row r="15" spans="1:36" ht="12.75">
      <c r="A15" s="176" t="s">
        <v>198</v>
      </c>
      <c r="B15" s="186" t="s">
        <v>1099</v>
      </c>
      <c r="C15" s="190"/>
      <c r="D15" s="190"/>
      <c r="E15" s="190" t="s">
        <v>227</v>
      </c>
      <c r="F15" s="191" t="s">
        <v>227</v>
      </c>
      <c r="G15" s="192" t="s">
        <v>227</v>
      </c>
      <c r="H15" s="192" t="s">
        <v>227</v>
      </c>
      <c r="I15" s="193" t="s">
        <v>227</v>
      </c>
      <c r="J15" s="190" t="s">
        <v>227</v>
      </c>
      <c r="K15" s="190" t="s">
        <v>227</v>
      </c>
      <c r="L15" s="190" t="s">
        <v>227</v>
      </c>
      <c r="M15" s="190" t="s">
        <v>227</v>
      </c>
      <c r="N15" s="192" t="s">
        <v>227</v>
      </c>
      <c r="O15" s="190" t="s">
        <v>227</v>
      </c>
      <c r="P15" s="191" t="s">
        <v>227</v>
      </c>
      <c r="Q15" s="190" t="s">
        <v>227</v>
      </c>
      <c r="R15" s="194" t="s">
        <v>227</v>
      </c>
      <c r="S15" s="190" t="s">
        <v>227</v>
      </c>
      <c r="T15" s="193" t="s">
        <v>227</v>
      </c>
      <c r="U15" s="193" t="s">
        <v>227</v>
      </c>
      <c r="V15" s="193" t="s">
        <v>227</v>
      </c>
      <c r="W15" s="190"/>
      <c r="X15" s="194"/>
      <c r="Y15" s="190"/>
      <c r="Z15" s="193"/>
      <c r="AA15" s="193"/>
      <c r="AB15" s="193"/>
      <c r="AC15" s="193">
        <v>28994.39</v>
      </c>
      <c r="AD15" s="193">
        <f t="shared" si="1"/>
        <v>28994.39</v>
      </c>
      <c r="AE15" s="193">
        <f t="shared" si="2"/>
        <v>0</v>
      </c>
      <c r="AF15" s="193">
        <f t="shared" si="0"/>
        <v>0</v>
      </c>
      <c r="AG15" s="190"/>
      <c r="AH15" s="190">
        <f t="shared" si="5"/>
        <v>-28994.39</v>
      </c>
      <c r="AI15" s="261"/>
      <c r="AJ15" s="190">
        <f t="shared" si="3"/>
        <v>0</v>
      </c>
    </row>
    <row r="16" spans="1:36" s="281" customFormat="1" ht="12.75">
      <c r="A16" s="272" t="s">
        <v>199</v>
      </c>
      <c r="B16" s="273" t="s">
        <v>1100</v>
      </c>
      <c r="C16" s="274"/>
      <c r="D16" s="274"/>
      <c r="E16" s="274" t="s">
        <v>227</v>
      </c>
      <c r="F16" s="275" t="s">
        <v>227</v>
      </c>
      <c r="G16" s="276" t="s">
        <v>227</v>
      </c>
      <c r="H16" s="276" t="s">
        <v>227</v>
      </c>
      <c r="I16" s="277" t="s">
        <v>227</v>
      </c>
      <c r="J16" s="274" t="s">
        <v>227</v>
      </c>
      <c r="K16" s="274" t="s">
        <v>227</v>
      </c>
      <c r="L16" s="274" t="s">
        <v>227</v>
      </c>
      <c r="M16" s="274" t="s">
        <v>227</v>
      </c>
      <c r="N16" s="276" t="s">
        <v>227</v>
      </c>
      <c r="O16" s="274" t="s">
        <v>227</v>
      </c>
      <c r="P16" s="275" t="s">
        <v>227</v>
      </c>
      <c r="Q16" s="274" t="s">
        <v>227</v>
      </c>
      <c r="R16" s="278" t="s">
        <v>227</v>
      </c>
      <c r="S16" s="274" t="s">
        <v>227</v>
      </c>
      <c r="T16" s="277" t="s">
        <v>227</v>
      </c>
      <c r="U16" s="277" t="s">
        <v>227</v>
      </c>
      <c r="V16" s="277" t="s">
        <v>227</v>
      </c>
      <c r="W16" s="274"/>
      <c r="X16" s="278"/>
      <c r="Y16" s="274"/>
      <c r="Z16" s="277"/>
      <c r="AA16" s="277">
        <v>11567.1144</v>
      </c>
      <c r="AB16" s="277">
        <v>14888.8972</v>
      </c>
      <c r="AC16" s="277">
        <v>78864.9752</v>
      </c>
      <c r="AD16" s="193">
        <f t="shared" si="1"/>
        <v>105320.9868</v>
      </c>
      <c r="AE16" s="277">
        <f t="shared" si="2"/>
        <v>0</v>
      </c>
      <c r="AF16" s="277">
        <f t="shared" si="0"/>
        <v>0</v>
      </c>
      <c r="AG16" s="274">
        <f>'Task_Table 9_01'!N76</f>
        <v>110000</v>
      </c>
      <c r="AH16" s="285">
        <f t="shared" si="5"/>
        <v>4679.013200000001</v>
      </c>
      <c r="AI16" s="279"/>
      <c r="AJ16" s="274">
        <f t="shared" si="3"/>
        <v>0</v>
      </c>
    </row>
    <row r="17" spans="1:36" ht="12.75">
      <c r="A17" s="176" t="s">
        <v>200</v>
      </c>
      <c r="B17" s="186" t="s">
        <v>1101</v>
      </c>
      <c r="C17" s="190"/>
      <c r="D17" s="190"/>
      <c r="E17" s="190" t="s">
        <v>227</v>
      </c>
      <c r="F17" s="191" t="s">
        <v>227</v>
      </c>
      <c r="G17" s="192" t="s">
        <v>227</v>
      </c>
      <c r="H17" s="192" t="s">
        <v>227</v>
      </c>
      <c r="I17" s="193" t="s">
        <v>227</v>
      </c>
      <c r="J17" s="190" t="s">
        <v>227</v>
      </c>
      <c r="K17" s="190" t="s">
        <v>227</v>
      </c>
      <c r="L17" s="190" t="s">
        <v>227</v>
      </c>
      <c r="M17" s="190" t="s">
        <v>227</v>
      </c>
      <c r="N17" s="192" t="s">
        <v>227</v>
      </c>
      <c r="O17" s="190" t="s">
        <v>227</v>
      </c>
      <c r="P17" s="191" t="s">
        <v>227</v>
      </c>
      <c r="Q17" s="190" t="s">
        <v>227</v>
      </c>
      <c r="R17" s="194" t="s">
        <v>227</v>
      </c>
      <c r="S17" s="190" t="s">
        <v>227</v>
      </c>
      <c r="T17" s="193" t="s">
        <v>227</v>
      </c>
      <c r="U17" s="193" t="s">
        <v>227</v>
      </c>
      <c r="V17" s="193" t="s">
        <v>227</v>
      </c>
      <c r="W17" s="190"/>
      <c r="X17" s="194"/>
      <c r="Y17" s="190"/>
      <c r="Z17" s="193"/>
      <c r="AA17" s="193"/>
      <c r="AB17" s="193"/>
      <c r="AC17" s="193"/>
      <c r="AD17" s="193">
        <f t="shared" si="1"/>
        <v>0</v>
      </c>
      <c r="AE17" s="193">
        <f t="shared" si="2"/>
        <v>0</v>
      </c>
      <c r="AF17" s="193">
        <f t="shared" si="0"/>
        <v>0</v>
      </c>
      <c r="AG17" s="190">
        <f>'Task_Table 9_01'!N81</f>
        <v>3150</v>
      </c>
      <c r="AH17" s="190">
        <f t="shared" si="5"/>
        <v>3150</v>
      </c>
      <c r="AI17" s="261"/>
      <c r="AJ17" s="190">
        <f t="shared" si="3"/>
        <v>0</v>
      </c>
    </row>
    <row r="18" spans="1:36" ht="12.75">
      <c r="A18" s="176" t="s">
        <v>17</v>
      </c>
      <c r="B18" s="186" t="s">
        <v>18</v>
      </c>
      <c r="C18" s="190"/>
      <c r="D18" s="190"/>
      <c r="E18" s="190" t="s">
        <v>227</v>
      </c>
      <c r="F18" s="191" t="s">
        <v>227</v>
      </c>
      <c r="G18" s="192" t="s">
        <v>227</v>
      </c>
      <c r="H18" s="192" t="s">
        <v>227</v>
      </c>
      <c r="I18" s="193" t="s">
        <v>227</v>
      </c>
      <c r="J18" s="190" t="s">
        <v>227</v>
      </c>
      <c r="K18" s="190" t="s">
        <v>227</v>
      </c>
      <c r="L18" s="190" t="s">
        <v>227</v>
      </c>
      <c r="M18" s="190" t="s">
        <v>227</v>
      </c>
      <c r="N18" s="192" t="s">
        <v>227</v>
      </c>
      <c r="O18" s="190" t="s">
        <v>227</v>
      </c>
      <c r="P18" s="191" t="s">
        <v>227</v>
      </c>
      <c r="Q18" s="190" t="s">
        <v>227</v>
      </c>
      <c r="R18" s="194" t="s">
        <v>227</v>
      </c>
      <c r="S18" s="190" t="s">
        <v>227</v>
      </c>
      <c r="T18" s="193" t="s">
        <v>227</v>
      </c>
      <c r="U18" s="193" t="s">
        <v>227</v>
      </c>
      <c r="V18" s="193" t="s">
        <v>227</v>
      </c>
      <c r="W18" s="190"/>
      <c r="X18" s="194"/>
      <c r="Y18" s="190"/>
      <c r="Z18" s="193">
        <v>3255.7</v>
      </c>
      <c r="AA18" s="193">
        <v>7712.21</v>
      </c>
      <c r="AB18" s="193"/>
      <c r="AC18" s="193"/>
      <c r="AD18" s="193">
        <f t="shared" si="1"/>
        <v>10967.91</v>
      </c>
      <c r="AE18" s="193">
        <f t="shared" si="2"/>
        <v>0</v>
      </c>
      <c r="AF18" s="193">
        <f t="shared" si="0"/>
        <v>0</v>
      </c>
      <c r="AG18" s="190">
        <f>'Task_Table 9_01'!N205</f>
        <v>12000</v>
      </c>
      <c r="AH18" s="190">
        <f t="shared" si="5"/>
        <v>1032.0900000000001</v>
      </c>
      <c r="AI18" s="261"/>
      <c r="AJ18" s="190">
        <f t="shared" si="3"/>
        <v>0</v>
      </c>
    </row>
    <row r="19" spans="1:36" s="281" customFormat="1" ht="12.75">
      <c r="A19" s="272" t="s">
        <v>60</v>
      </c>
      <c r="B19" s="273" t="s">
        <v>847</v>
      </c>
      <c r="C19" s="274"/>
      <c r="D19" s="274"/>
      <c r="E19" s="274">
        <v>11398.972</v>
      </c>
      <c r="F19" s="275" t="s">
        <v>227</v>
      </c>
      <c r="G19" s="276">
        <v>5226.6</v>
      </c>
      <c r="H19" s="276" t="s">
        <v>227</v>
      </c>
      <c r="I19" s="277" t="s">
        <v>227</v>
      </c>
      <c r="J19" s="274">
        <v>653.04</v>
      </c>
      <c r="K19" s="274" t="s">
        <v>227</v>
      </c>
      <c r="L19" s="274">
        <v>1059.06</v>
      </c>
      <c r="M19" s="274" t="s">
        <v>227</v>
      </c>
      <c r="N19" s="282">
        <v>13055.56</v>
      </c>
      <c r="O19" s="274" t="s">
        <v>227</v>
      </c>
      <c r="P19" s="275" t="s">
        <v>227</v>
      </c>
      <c r="Q19" s="274" t="s">
        <v>227</v>
      </c>
      <c r="R19" s="278">
        <v>10687.46</v>
      </c>
      <c r="S19" s="274">
        <v>17326.32</v>
      </c>
      <c r="T19" s="277" t="s">
        <v>227</v>
      </c>
      <c r="U19" s="277" t="s">
        <v>227</v>
      </c>
      <c r="V19" s="277">
        <v>376.98799999999756</v>
      </c>
      <c r="W19" s="274"/>
      <c r="X19" s="276"/>
      <c r="Y19" s="274"/>
      <c r="Z19" s="277"/>
      <c r="AA19" s="277"/>
      <c r="AB19" s="277"/>
      <c r="AC19" s="277"/>
      <c r="AD19" s="193">
        <f t="shared" si="1"/>
        <v>59784</v>
      </c>
      <c r="AE19" s="277">
        <f t="shared" si="2"/>
        <v>59784</v>
      </c>
      <c r="AF19" s="277">
        <f t="shared" si="0"/>
        <v>54557.4</v>
      </c>
      <c r="AG19" s="274">
        <f>'Task_Table 9_01'!N295</f>
        <v>59784</v>
      </c>
      <c r="AH19" s="285">
        <f t="shared" si="5"/>
        <v>0</v>
      </c>
      <c r="AI19" s="283">
        <f>'FNAL Accounting'!G4</f>
        <v>56595.71</v>
      </c>
      <c r="AJ19" s="274">
        <f t="shared" si="3"/>
        <v>-2038.3099999999977</v>
      </c>
    </row>
    <row r="20" spans="1:36" ht="12.75">
      <c r="A20" s="180" t="s">
        <v>62</v>
      </c>
      <c r="B20" s="179" t="s">
        <v>848</v>
      </c>
      <c r="C20" s="190"/>
      <c r="D20" s="190"/>
      <c r="E20" s="190" t="s">
        <v>227</v>
      </c>
      <c r="F20" s="191">
        <v>247.5</v>
      </c>
      <c r="G20" s="192">
        <v>1048.44</v>
      </c>
      <c r="H20" s="192" t="s">
        <v>227</v>
      </c>
      <c r="I20" s="193" t="s">
        <v>227</v>
      </c>
      <c r="J20" s="190" t="s">
        <v>227</v>
      </c>
      <c r="K20" s="190">
        <v>640</v>
      </c>
      <c r="L20" s="190" t="s">
        <v>227</v>
      </c>
      <c r="M20" s="190" t="s">
        <v>227</v>
      </c>
      <c r="N20" s="190">
        <v>1371.64</v>
      </c>
      <c r="O20" s="190" t="s">
        <v>227</v>
      </c>
      <c r="P20" s="191" t="s">
        <v>227</v>
      </c>
      <c r="Q20" s="190" t="s">
        <v>227</v>
      </c>
      <c r="R20" s="194" t="s">
        <v>227</v>
      </c>
      <c r="S20" s="190" t="s">
        <v>227</v>
      </c>
      <c r="T20" s="193" t="s">
        <v>227</v>
      </c>
      <c r="U20" s="193" t="s">
        <v>227</v>
      </c>
      <c r="V20" s="193" t="s">
        <v>227</v>
      </c>
      <c r="W20" s="190"/>
      <c r="X20" s="194"/>
      <c r="Y20" s="190"/>
      <c r="Z20" s="193">
        <v>195</v>
      </c>
      <c r="AA20" s="193"/>
      <c r="AB20" s="193"/>
      <c r="AC20" s="193"/>
      <c r="AD20" s="193">
        <f t="shared" si="1"/>
        <v>3502.58</v>
      </c>
      <c r="AE20" s="193">
        <f t="shared" si="2"/>
        <v>3307.58</v>
      </c>
      <c r="AF20" s="193">
        <f t="shared" si="0"/>
        <v>2011.6399999999999</v>
      </c>
      <c r="AG20" s="190">
        <f>'Task_Table 9_01'!N302</f>
        <v>4000</v>
      </c>
      <c r="AH20" s="190">
        <f t="shared" si="4"/>
        <v>497.4200000000001</v>
      </c>
      <c r="AI20" s="243">
        <f>'FNAL Accounting'!G5</f>
        <v>3026.84</v>
      </c>
      <c r="AJ20" s="190">
        <f t="shared" si="3"/>
        <v>-1015.2000000000003</v>
      </c>
    </row>
    <row r="21" spans="1:36" ht="12.75">
      <c r="A21" s="180" t="s">
        <v>64</v>
      </c>
      <c r="B21" s="179" t="s">
        <v>853</v>
      </c>
      <c r="C21" s="190"/>
      <c r="D21" s="190"/>
      <c r="E21" s="190" t="s">
        <v>227</v>
      </c>
      <c r="F21" s="191">
        <v>1778.2</v>
      </c>
      <c r="G21" s="192">
        <v>2771.4628000000002</v>
      </c>
      <c r="H21" s="192" t="s">
        <v>227</v>
      </c>
      <c r="I21" s="193" t="s">
        <v>227</v>
      </c>
      <c r="J21" s="190" t="s">
        <v>227</v>
      </c>
      <c r="K21" s="190">
        <v>1047.9</v>
      </c>
      <c r="L21" s="190" t="s">
        <v>227</v>
      </c>
      <c r="M21" s="190" t="s">
        <v>227</v>
      </c>
      <c r="N21" s="190">
        <v>101.454</v>
      </c>
      <c r="O21" s="190">
        <v>402.634</v>
      </c>
      <c r="P21" s="191" t="s">
        <v>227</v>
      </c>
      <c r="Q21" s="201" t="s">
        <v>227</v>
      </c>
      <c r="R21" s="194" t="s">
        <v>227</v>
      </c>
      <c r="S21" s="190" t="s">
        <v>227</v>
      </c>
      <c r="T21" s="193" t="s">
        <v>227</v>
      </c>
      <c r="U21" s="193" t="s">
        <v>227</v>
      </c>
      <c r="V21" s="193" t="s">
        <v>227</v>
      </c>
      <c r="W21" s="190"/>
      <c r="X21" s="194"/>
      <c r="Y21" s="190"/>
      <c r="Z21" s="193"/>
      <c r="AA21" s="193"/>
      <c r="AB21" s="193"/>
      <c r="AC21" s="193"/>
      <c r="AD21" s="193">
        <f t="shared" si="1"/>
        <v>6101.650799999999</v>
      </c>
      <c r="AE21" s="193">
        <f t="shared" si="2"/>
        <v>6101.650799999999</v>
      </c>
      <c r="AF21" s="193">
        <f t="shared" si="0"/>
        <v>1551.9879999999994</v>
      </c>
      <c r="AG21" s="190">
        <f>'Task_Table 9_01'!N307</f>
        <v>9000</v>
      </c>
      <c r="AH21" s="190">
        <f t="shared" si="4"/>
        <v>2898.3492000000006</v>
      </c>
      <c r="AI21" s="260">
        <f>'FNAL Accounting'!G37</f>
        <v>7481.35</v>
      </c>
      <c r="AJ21" s="190">
        <f t="shared" si="3"/>
        <v>-5929.362000000001</v>
      </c>
    </row>
    <row r="22" spans="1:36" s="281" customFormat="1" ht="12.75">
      <c r="A22" s="272" t="s">
        <v>68</v>
      </c>
      <c r="B22" s="273" t="s">
        <v>849</v>
      </c>
      <c r="C22" s="274">
        <v>3393.81</v>
      </c>
      <c r="D22" s="274">
        <v>7589.56</v>
      </c>
      <c r="E22" s="274" t="s">
        <v>227</v>
      </c>
      <c r="F22" s="275">
        <v>8808.7</v>
      </c>
      <c r="G22" s="276" t="s">
        <v>227</v>
      </c>
      <c r="H22" s="276" t="s">
        <v>227</v>
      </c>
      <c r="I22" s="277">
        <v>2315.76</v>
      </c>
      <c r="J22" s="274" t="s">
        <v>227</v>
      </c>
      <c r="K22" s="274" t="s">
        <v>227</v>
      </c>
      <c r="L22" s="274" t="s">
        <v>227</v>
      </c>
      <c r="M22" s="274">
        <v>7815.78</v>
      </c>
      <c r="N22" s="274" t="s">
        <v>227</v>
      </c>
      <c r="O22" s="274">
        <v>6481.26</v>
      </c>
      <c r="P22" s="275">
        <v>4087.15</v>
      </c>
      <c r="Q22" s="274">
        <v>7584.16</v>
      </c>
      <c r="R22" s="278" t="s">
        <v>227</v>
      </c>
      <c r="S22" s="274" t="s">
        <v>227</v>
      </c>
      <c r="T22" s="277" t="s">
        <v>227</v>
      </c>
      <c r="U22" s="277" t="s">
        <v>227</v>
      </c>
      <c r="V22" s="277" t="s">
        <v>227</v>
      </c>
      <c r="W22" s="274"/>
      <c r="X22" s="278"/>
      <c r="Y22" s="274"/>
      <c r="Z22" s="277"/>
      <c r="AA22" s="277"/>
      <c r="AB22" s="277"/>
      <c r="AC22" s="277"/>
      <c r="AD22" s="193">
        <f t="shared" si="1"/>
        <v>48076.18000000001</v>
      </c>
      <c r="AE22" s="277">
        <f t="shared" si="2"/>
        <v>48076.18000000001</v>
      </c>
      <c r="AF22" s="277">
        <f t="shared" si="0"/>
        <v>36951.72000000001</v>
      </c>
      <c r="AG22" s="274">
        <f>'Task_Table 9_01'!N316</f>
        <v>50184</v>
      </c>
      <c r="AH22" s="274">
        <f t="shared" si="4"/>
        <v>2107.8199999999924</v>
      </c>
      <c r="AI22" s="283">
        <f>'FNAL Accounting'!G6</f>
        <v>32808.46</v>
      </c>
      <c r="AJ22" s="274">
        <f t="shared" si="3"/>
        <v>4143.260000000009</v>
      </c>
    </row>
    <row r="23" spans="1:36" ht="12.75">
      <c r="A23" s="176" t="s">
        <v>70</v>
      </c>
      <c r="B23" s="179" t="s">
        <v>850</v>
      </c>
      <c r="C23" s="190">
        <v>113.62</v>
      </c>
      <c r="D23" s="190">
        <v>383.75</v>
      </c>
      <c r="E23" s="190" t="s">
        <v>227</v>
      </c>
      <c r="F23" s="191" t="s">
        <v>227</v>
      </c>
      <c r="G23" s="192">
        <v>2904</v>
      </c>
      <c r="H23" s="192" t="s">
        <v>227</v>
      </c>
      <c r="I23" s="193">
        <v>77.7</v>
      </c>
      <c r="J23" s="190">
        <v>1407.88</v>
      </c>
      <c r="K23" s="190">
        <v>293.34</v>
      </c>
      <c r="L23" t="s">
        <v>227</v>
      </c>
      <c r="M23" s="190">
        <v>1120.8</v>
      </c>
      <c r="N23" s="194" t="s">
        <v>227</v>
      </c>
      <c r="O23" s="190">
        <v>5684.03</v>
      </c>
      <c r="P23" s="191" t="s">
        <v>227</v>
      </c>
      <c r="Q23" s="190" t="s">
        <v>227</v>
      </c>
      <c r="R23" s="194" t="s">
        <v>227</v>
      </c>
      <c r="S23" s="190" t="s">
        <v>227</v>
      </c>
      <c r="T23" s="193" t="s">
        <v>227</v>
      </c>
      <c r="U23" s="193" t="s">
        <v>227</v>
      </c>
      <c r="V23" s="193" t="s">
        <v>227</v>
      </c>
      <c r="W23" s="190"/>
      <c r="X23" s="194"/>
      <c r="Y23" s="190"/>
      <c r="Z23" s="193"/>
      <c r="AA23" s="193"/>
      <c r="AB23" s="193"/>
      <c r="AC23" s="193"/>
      <c r="AD23" s="193">
        <f t="shared" si="1"/>
        <v>11985.119999999999</v>
      </c>
      <c r="AE23" s="193">
        <f t="shared" si="2"/>
        <v>11985.119999999999</v>
      </c>
      <c r="AF23" s="193">
        <f t="shared" si="0"/>
        <v>9003.419999999998</v>
      </c>
      <c r="AG23" s="190">
        <f>'Task_Table 9_01'!N323</f>
        <v>12500</v>
      </c>
      <c r="AH23" s="190">
        <f t="shared" si="4"/>
        <v>514.880000000001</v>
      </c>
      <c r="AI23" s="243">
        <f>'FNAL Accounting'!G8</f>
        <v>10998.55</v>
      </c>
      <c r="AJ23" s="190">
        <f t="shared" si="3"/>
        <v>-1995.130000000001</v>
      </c>
    </row>
    <row r="24" spans="1:36" s="291" customFormat="1" ht="12.75">
      <c r="A24" s="272" t="s">
        <v>89</v>
      </c>
      <c r="B24" s="284" t="s">
        <v>854</v>
      </c>
      <c r="C24" s="285"/>
      <c r="D24" s="285"/>
      <c r="E24" s="285" t="s">
        <v>227</v>
      </c>
      <c r="F24" s="286" t="s">
        <v>227</v>
      </c>
      <c r="G24" s="287" t="s">
        <v>227</v>
      </c>
      <c r="H24" s="287" t="s">
        <v>227</v>
      </c>
      <c r="I24" s="288" t="s">
        <v>227</v>
      </c>
      <c r="J24" s="285" t="s">
        <v>227</v>
      </c>
      <c r="K24" s="285" t="s">
        <v>227</v>
      </c>
      <c r="L24" s="285" t="s">
        <v>227</v>
      </c>
      <c r="M24" s="285" t="s">
        <v>227</v>
      </c>
      <c r="N24" s="289">
        <v>12394.37</v>
      </c>
      <c r="O24" s="285" t="s">
        <v>227</v>
      </c>
      <c r="P24" s="289">
        <v>7708.1152</v>
      </c>
      <c r="Q24" s="290" t="s">
        <v>227</v>
      </c>
      <c r="R24" s="289" t="s">
        <v>227</v>
      </c>
      <c r="S24" s="285" t="s">
        <v>227</v>
      </c>
      <c r="T24" s="288" t="s">
        <v>227</v>
      </c>
      <c r="U24" s="288" t="s">
        <v>227</v>
      </c>
      <c r="V24" s="288">
        <v>2161.7368000000024</v>
      </c>
      <c r="W24" s="285"/>
      <c r="X24" s="289"/>
      <c r="Y24" s="285"/>
      <c r="Z24" s="288"/>
      <c r="AA24" s="288"/>
      <c r="AB24" s="288"/>
      <c r="AC24" s="288"/>
      <c r="AD24" s="193">
        <f t="shared" si="1"/>
        <v>22264.222000000005</v>
      </c>
      <c r="AE24" s="288">
        <f t="shared" si="2"/>
        <v>22264.222000000005</v>
      </c>
      <c r="AF24" s="288">
        <f t="shared" si="0"/>
        <v>22264.222000000005</v>
      </c>
      <c r="AG24" s="285">
        <f>'Task_Table 9_01'!N349</f>
        <v>24000</v>
      </c>
      <c r="AH24" s="285">
        <f t="shared" si="4"/>
        <v>1735.7779999999948</v>
      </c>
      <c r="AI24" s="280">
        <f>'FNAL Accounting'!G38</f>
        <v>24600</v>
      </c>
      <c r="AJ24" s="285">
        <f t="shared" si="3"/>
        <v>-2335.777999999995</v>
      </c>
    </row>
    <row r="25" spans="1:36" ht="12.75">
      <c r="A25" s="180" t="s">
        <v>124</v>
      </c>
      <c r="B25" s="179" t="s">
        <v>846</v>
      </c>
      <c r="C25" s="190"/>
      <c r="D25" s="190"/>
      <c r="E25" s="190" t="s">
        <v>227</v>
      </c>
      <c r="F25" s="191" t="s">
        <v>227</v>
      </c>
      <c r="G25" s="192">
        <v>13356.836</v>
      </c>
      <c r="H25" s="192">
        <v>3380.0396</v>
      </c>
      <c r="I25" s="193">
        <v>9264.4672</v>
      </c>
      <c r="J25" s="190">
        <v>6751.8856000000005</v>
      </c>
      <c r="K25" s="190">
        <v>18965.342000000004</v>
      </c>
      <c r="L25" s="190">
        <v>7073.6472</v>
      </c>
      <c r="M25" s="190">
        <v>6692.371999999999</v>
      </c>
      <c r="N25" s="190">
        <v>10754.641999999998</v>
      </c>
      <c r="O25" s="190">
        <v>7329.9072</v>
      </c>
      <c r="P25" s="191">
        <v>5791.7376</v>
      </c>
      <c r="Q25" s="190">
        <v>6982.271999999999</v>
      </c>
      <c r="R25" s="194">
        <v>7329.907199999999</v>
      </c>
      <c r="S25" s="190">
        <v>10163.204399999999</v>
      </c>
      <c r="T25" s="193">
        <v>6958.1904</v>
      </c>
      <c r="U25" s="193">
        <v>7081.6076</v>
      </c>
      <c r="V25" s="193">
        <v>7693.7356</v>
      </c>
      <c r="W25" s="190">
        <v>7570.3184</v>
      </c>
      <c r="X25" s="194">
        <v>7951.921600000001</v>
      </c>
      <c r="Y25" s="190">
        <v>8134.5536</v>
      </c>
      <c r="Z25" s="193">
        <v>12201.667599999999</v>
      </c>
      <c r="AA25" s="193">
        <v>8675.5824</v>
      </c>
      <c r="AB25" s="193">
        <v>8675.5824</v>
      </c>
      <c r="AC25" s="193">
        <v>52125.452</v>
      </c>
      <c r="AD25" s="193">
        <f>SUM(C25:AC25)</f>
        <v>240904.8716</v>
      </c>
      <c r="AE25" s="193">
        <f t="shared" si="2"/>
        <v>143140.11200000002</v>
      </c>
      <c r="AF25" s="193">
        <f t="shared" si="0"/>
        <v>117138.76920000002</v>
      </c>
      <c r="AG25" s="190">
        <f>'Task_Table 9_01'!N381</f>
        <v>283785.61</v>
      </c>
      <c r="AH25" s="190">
        <f t="shared" si="4"/>
        <v>42880.73839999997</v>
      </c>
      <c r="AI25" s="243">
        <f>'FNAL Accounting'!G10+'FNAL Accounting'!G11+'FNAL Accounting'!G12</f>
        <v>116043.86</v>
      </c>
      <c r="AJ25" s="190">
        <f t="shared" si="3"/>
        <v>1094.9092000000237</v>
      </c>
    </row>
    <row r="26" spans="1:36" ht="12.75">
      <c r="A26" s="180" t="s">
        <v>1033</v>
      </c>
      <c r="B26" s="179" t="s">
        <v>1102</v>
      </c>
      <c r="C26" s="190"/>
      <c r="D26" s="190"/>
      <c r="E26" s="190" t="s">
        <v>227</v>
      </c>
      <c r="F26" s="191" t="s">
        <v>227</v>
      </c>
      <c r="G26" s="192" t="s">
        <v>227</v>
      </c>
      <c r="H26" s="192" t="s">
        <v>227</v>
      </c>
      <c r="I26" s="193" t="s">
        <v>227</v>
      </c>
      <c r="J26" s="190" t="s">
        <v>227</v>
      </c>
      <c r="K26" s="190" t="s">
        <v>227</v>
      </c>
      <c r="L26" s="190" t="s">
        <v>227</v>
      </c>
      <c r="M26" s="190" t="s">
        <v>227</v>
      </c>
      <c r="N26" s="190" t="s">
        <v>227</v>
      </c>
      <c r="O26" s="190" t="s">
        <v>227</v>
      </c>
      <c r="P26" s="191" t="s">
        <v>227</v>
      </c>
      <c r="Q26" s="190" t="s">
        <v>227</v>
      </c>
      <c r="R26" s="194" t="s">
        <v>227</v>
      </c>
      <c r="S26" s="190" t="s">
        <v>227</v>
      </c>
      <c r="T26" s="193" t="s">
        <v>227</v>
      </c>
      <c r="U26" s="193" t="s">
        <v>227</v>
      </c>
      <c r="V26" s="193" t="s">
        <v>227</v>
      </c>
      <c r="W26" s="190"/>
      <c r="X26" s="194"/>
      <c r="Y26" s="190"/>
      <c r="Z26" s="193"/>
      <c r="AA26" s="193"/>
      <c r="AB26" s="193"/>
      <c r="AC26" s="193"/>
      <c r="AD26" s="193">
        <f t="shared" si="1"/>
        <v>0</v>
      </c>
      <c r="AE26" s="193">
        <f t="shared" si="2"/>
        <v>0</v>
      </c>
      <c r="AF26" s="193">
        <f t="shared" si="0"/>
        <v>0</v>
      </c>
      <c r="AG26" s="190">
        <f>'Task_Table 9_01'!N426</f>
        <v>62600</v>
      </c>
      <c r="AH26" s="190"/>
      <c r="AI26" s="261"/>
      <c r="AJ26" s="190">
        <f t="shared" si="3"/>
        <v>0</v>
      </c>
    </row>
    <row r="27" spans="1:36" ht="12.75">
      <c r="A27" s="180" t="s">
        <v>1062</v>
      </c>
      <c r="B27" s="179" t="s">
        <v>1103</v>
      </c>
      <c r="C27" s="190"/>
      <c r="D27" s="190"/>
      <c r="E27" s="190" t="s">
        <v>227</v>
      </c>
      <c r="F27" s="191" t="s">
        <v>227</v>
      </c>
      <c r="G27" s="192" t="s">
        <v>227</v>
      </c>
      <c r="H27" s="192" t="s">
        <v>227</v>
      </c>
      <c r="I27" s="193" t="s">
        <v>227</v>
      </c>
      <c r="J27" s="190" t="s">
        <v>227</v>
      </c>
      <c r="K27" s="190" t="s">
        <v>227</v>
      </c>
      <c r="L27" s="190" t="s">
        <v>227</v>
      </c>
      <c r="M27" s="190" t="s">
        <v>227</v>
      </c>
      <c r="N27" s="190" t="s">
        <v>227</v>
      </c>
      <c r="O27" s="190" t="s">
        <v>227</v>
      </c>
      <c r="P27" s="191" t="s">
        <v>227</v>
      </c>
      <c r="Q27" s="190" t="s">
        <v>227</v>
      </c>
      <c r="R27" s="194" t="s">
        <v>227</v>
      </c>
      <c r="S27" s="190" t="s">
        <v>227</v>
      </c>
      <c r="T27" s="193" t="s">
        <v>227</v>
      </c>
      <c r="U27" s="193" t="s">
        <v>227</v>
      </c>
      <c r="V27" s="193" t="s">
        <v>227</v>
      </c>
      <c r="W27" s="190"/>
      <c r="X27" s="194"/>
      <c r="Y27" s="190"/>
      <c r="Z27" s="193"/>
      <c r="AA27" s="193"/>
      <c r="AB27" s="193"/>
      <c r="AC27" s="193">
        <v>12204.4056</v>
      </c>
      <c r="AD27" s="193">
        <f t="shared" si="1"/>
        <v>12204.4056</v>
      </c>
      <c r="AE27" s="193">
        <f t="shared" si="2"/>
        <v>0</v>
      </c>
      <c r="AF27" s="193">
        <f t="shared" si="0"/>
        <v>0</v>
      </c>
      <c r="AG27" s="190">
        <f>'Task_Table 9_01'!N427</f>
        <v>21840</v>
      </c>
      <c r="AH27" s="190"/>
      <c r="AI27" s="261"/>
      <c r="AJ27" s="190">
        <f t="shared" si="3"/>
        <v>0</v>
      </c>
    </row>
    <row r="28" spans="1:36" ht="12.75">
      <c r="A28" s="180" t="s">
        <v>1104</v>
      </c>
      <c r="B28" s="179" t="s">
        <v>1105</v>
      </c>
      <c r="C28" s="190"/>
      <c r="D28" s="190"/>
      <c r="E28" s="190" t="s">
        <v>227</v>
      </c>
      <c r="F28" s="191" t="s">
        <v>227</v>
      </c>
      <c r="G28" s="192" t="s">
        <v>227</v>
      </c>
      <c r="H28" s="192" t="s">
        <v>227</v>
      </c>
      <c r="I28" s="193" t="s">
        <v>227</v>
      </c>
      <c r="J28" s="190" t="s">
        <v>227</v>
      </c>
      <c r="K28" s="190" t="s">
        <v>227</v>
      </c>
      <c r="L28" s="190" t="s">
        <v>227</v>
      </c>
      <c r="M28" s="190" t="s">
        <v>227</v>
      </c>
      <c r="N28" s="190" t="s">
        <v>227</v>
      </c>
      <c r="O28" s="190" t="s">
        <v>227</v>
      </c>
      <c r="P28" s="191" t="s">
        <v>227</v>
      </c>
      <c r="Q28" s="190" t="s">
        <v>227</v>
      </c>
      <c r="R28" s="194" t="s">
        <v>227</v>
      </c>
      <c r="S28" s="190" t="s">
        <v>227</v>
      </c>
      <c r="T28" s="193" t="s">
        <v>227</v>
      </c>
      <c r="U28" s="193" t="s">
        <v>227</v>
      </c>
      <c r="V28" s="193" t="s">
        <v>227</v>
      </c>
      <c r="W28" s="190"/>
      <c r="X28" s="194"/>
      <c r="Y28" s="190"/>
      <c r="Z28" s="193"/>
      <c r="AA28" s="193"/>
      <c r="AB28" s="193"/>
      <c r="AC28" s="193"/>
      <c r="AD28" s="193">
        <f t="shared" si="1"/>
        <v>0</v>
      </c>
      <c r="AE28" s="193">
        <f t="shared" si="2"/>
        <v>0</v>
      </c>
      <c r="AF28" s="193">
        <f t="shared" si="0"/>
        <v>0</v>
      </c>
      <c r="AG28" s="190">
        <f>'Task_Table 9_01'!N428</f>
        <v>66000</v>
      </c>
      <c r="AH28" s="190"/>
      <c r="AI28" s="261"/>
      <c r="AJ28" s="190">
        <f t="shared" si="3"/>
        <v>0</v>
      </c>
    </row>
    <row r="29" spans="1:36" ht="12.75">
      <c r="A29" s="180" t="s">
        <v>1428</v>
      </c>
      <c r="B29" s="486" t="s">
        <v>760</v>
      </c>
      <c r="C29" s="193"/>
      <c r="D29" s="190"/>
      <c r="E29" s="190"/>
      <c r="F29" s="191"/>
      <c r="G29" s="192"/>
      <c r="H29" s="192"/>
      <c r="I29" s="193"/>
      <c r="J29" s="190"/>
      <c r="K29" s="190"/>
      <c r="L29" s="190"/>
      <c r="M29" s="190"/>
      <c r="N29" s="190"/>
      <c r="O29" s="190"/>
      <c r="P29" s="191"/>
      <c r="Q29" s="190"/>
      <c r="R29" s="194"/>
      <c r="S29" s="190"/>
      <c r="T29" s="193"/>
      <c r="U29" s="193"/>
      <c r="V29" s="193"/>
      <c r="W29" s="190"/>
      <c r="X29" s="194"/>
      <c r="Y29" s="190"/>
      <c r="Z29" s="193"/>
      <c r="AA29" s="193"/>
      <c r="AB29" s="193"/>
      <c r="AC29" s="467">
        <v>1452.5903999999998</v>
      </c>
      <c r="AD29" s="193">
        <f t="shared" si="1"/>
        <v>1452.5903999999998</v>
      </c>
      <c r="AE29" s="193"/>
      <c r="AF29" s="193"/>
      <c r="AG29" s="190"/>
      <c r="AH29" s="190"/>
      <c r="AI29" s="261"/>
      <c r="AJ29" s="190"/>
    </row>
    <row r="30" spans="1:36" ht="12.75">
      <c r="A30" s="466" t="s">
        <v>1429</v>
      </c>
      <c r="B30" s="486" t="s">
        <v>1430</v>
      </c>
      <c r="C30" s="193"/>
      <c r="D30" s="190"/>
      <c r="E30" s="190"/>
      <c r="F30" s="191"/>
      <c r="G30" s="192"/>
      <c r="H30" s="192"/>
      <c r="I30" s="193"/>
      <c r="J30" s="190"/>
      <c r="K30" s="190"/>
      <c r="L30" s="190"/>
      <c r="M30" s="190"/>
      <c r="N30" s="190"/>
      <c r="O30" s="190"/>
      <c r="P30" s="191"/>
      <c r="Q30" s="190"/>
      <c r="R30" s="194"/>
      <c r="S30" s="190"/>
      <c r="T30" s="193"/>
      <c r="U30" s="193"/>
      <c r="V30" s="193"/>
      <c r="W30" s="190"/>
      <c r="X30" s="194"/>
      <c r="Y30" s="190"/>
      <c r="Z30" s="193"/>
      <c r="AA30" s="193"/>
      <c r="AB30" s="193"/>
      <c r="AC30" s="193">
        <v>22357.412155999948</v>
      </c>
      <c r="AD30" s="193">
        <f t="shared" si="1"/>
        <v>22357.412155999948</v>
      </c>
      <c r="AE30" s="193"/>
      <c r="AF30" s="193"/>
      <c r="AG30" s="190"/>
      <c r="AH30" s="190"/>
      <c r="AI30" s="261"/>
      <c r="AJ30" s="190"/>
    </row>
    <row r="31" spans="1:36" ht="12.75">
      <c r="A31" s="180" t="s">
        <v>358</v>
      </c>
      <c r="B31" s="179"/>
      <c r="C31" s="190">
        <f aca="true" t="shared" si="6" ref="C31:Q31">SUM(C5:C25)</f>
        <v>3507.43</v>
      </c>
      <c r="D31" s="190">
        <f t="shared" si="6"/>
        <v>17316.1488</v>
      </c>
      <c r="E31" s="190">
        <f t="shared" si="6"/>
        <v>13633.2096</v>
      </c>
      <c r="F31" s="191">
        <f t="shared" si="6"/>
        <v>15703.0228</v>
      </c>
      <c r="G31" s="192">
        <f t="shared" si="6"/>
        <v>39362.6568</v>
      </c>
      <c r="H31" s="192">
        <f t="shared" si="6"/>
        <v>4431.2624</v>
      </c>
      <c r="I31" s="193">
        <f t="shared" si="6"/>
        <v>19501.854</v>
      </c>
      <c r="J31" s="190">
        <f t="shared" si="6"/>
        <v>14442.405999999999</v>
      </c>
      <c r="K31" s="190">
        <f t="shared" si="6"/>
        <v>32382.634000000005</v>
      </c>
      <c r="L31" s="190">
        <f t="shared" si="6"/>
        <v>22256.2208</v>
      </c>
      <c r="M31" s="190">
        <f t="shared" si="6"/>
        <v>29207.912</v>
      </c>
      <c r="N31" s="190">
        <f t="shared" si="6"/>
        <v>45360.5964</v>
      </c>
      <c r="O31" s="190">
        <f t="shared" si="6"/>
        <v>32800.7088</v>
      </c>
      <c r="P31" s="190">
        <f t="shared" si="6"/>
        <v>24558.7292</v>
      </c>
      <c r="Q31" s="190">
        <f t="shared" si="6"/>
        <v>32060.444799999997</v>
      </c>
      <c r="R31" s="190">
        <f>SUM(R5:R25)</f>
        <v>41955.1788</v>
      </c>
      <c r="S31" s="190">
        <f aca="true" t="shared" si="7" ref="S31:AA31">SUM(S5:S28)</f>
        <v>24496.458</v>
      </c>
      <c r="T31" s="190">
        <f t="shared" si="7"/>
        <v>33041.936</v>
      </c>
      <c r="U31" s="190">
        <f t="shared" si="7"/>
        <v>49839.1556</v>
      </c>
      <c r="V31" s="190">
        <f t="shared" si="7"/>
        <v>-188.94999999999527</v>
      </c>
      <c r="W31" s="190">
        <f t="shared" si="7"/>
        <v>45769.7908</v>
      </c>
      <c r="X31" s="192">
        <f t="shared" si="7"/>
        <v>25812.9244</v>
      </c>
      <c r="Y31" s="190">
        <f t="shared" si="7"/>
        <v>34968.419200000004</v>
      </c>
      <c r="Z31" s="190">
        <f t="shared" si="7"/>
        <v>39541.4892</v>
      </c>
      <c r="AA31" s="190">
        <f t="shared" si="7"/>
        <v>32673.0092</v>
      </c>
      <c r="AB31" s="190">
        <f>SUM(AB5:AB30)</f>
        <v>30655.8448</v>
      </c>
      <c r="AC31" s="190">
        <f>SUM(AC5:AC30)</f>
        <v>203880.39999999997</v>
      </c>
      <c r="AD31" s="193">
        <f>SUM(AD5:AD30)</f>
        <v>908970.8923999999</v>
      </c>
      <c r="AE31" s="193">
        <f t="shared" si="2"/>
        <v>541438.8056</v>
      </c>
      <c r="AF31" s="193">
        <f>SUM(AF5:AF28)</f>
        <v>417039.51720000006</v>
      </c>
      <c r="AG31" s="190">
        <f>SUM(AG5:AG28)</f>
        <v>947758.9</v>
      </c>
      <c r="AH31" s="190">
        <f>SUM(AH5:AH28)</f>
        <v>39221.14199999996</v>
      </c>
      <c r="AI31" s="263">
        <f>SUM(AI5:AI28)</f>
        <v>406959.36</v>
      </c>
      <c r="AJ31" s="190">
        <f>SUM(AJ5:AJ28)</f>
        <v>10080.15720000003</v>
      </c>
    </row>
    <row r="32" spans="1:36" ht="12.75">
      <c r="A32" s="180" t="s">
        <v>638</v>
      </c>
      <c r="B32" s="179"/>
      <c r="C32" s="190">
        <f>'Feb 00'!B23</f>
        <v>3507.43</v>
      </c>
      <c r="D32" s="190">
        <f>'Mar 00 cor'!B40</f>
        <v>17316.1488</v>
      </c>
      <c r="E32" s="190">
        <f>'April  00'!B42</f>
        <v>13633.2096</v>
      </c>
      <c r="F32" s="191">
        <f>'May 00'!B49</f>
        <v>15703.022799999999</v>
      </c>
      <c r="G32" s="192">
        <f>'Jun 00'!B64</f>
        <v>39362.6568</v>
      </c>
      <c r="H32" s="192">
        <f>'July 00'!B54</f>
        <v>4431.2624000000005</v>
      </c>
      <c r="I32" s="193">
        <f>'Aug 00'!B54</f>
        <v>19501.854</v>
      </c>
      <c r="J32" s="190">
        <f>'Sept 00'!B48</f>
        <v>14442.406000000003</v>
      </c>
      <c r="K32" s="190">
        <f>'Oct 00'!B58</f>
        <v>32382.634000000005</v>
      </c>
      <c r="L32" s="190">
        <f>'Nov 00'!B65</f>
        <v>22256.220800000003</v>
      </c>
      <c r="M32" s="190">
        <f>'Dec 00'!B43</f>
        <v>29207.9128</v>
      </c>
      <c r="N32" s="190">
        <f>'Jan 01'!B59</f>
        <v>45360.5964</v>
      </c>
      <c r="O32" s="190">
        <f>'Feb 01'!B58</f>
        <v>32800.70879999999</v>
      </c>
      <c r="P32" s="191">
        <f>'Mar 01'!E78</f>
        <v>24558.7292</v>
      </c>
      <c r="Q32" s="190">
        <f>'Apr 01'!B64</f>
        <v>32060.444799999997</v>
      </c>
      <c r="R32" s="194">
        <f>'May 01'!B71</f>
        <v>41955.1788</v>
      </c>
      <c r="S32" s="190">
        <f>'Jun 01'!B69</f>
        <v>24496.457999999995</v>
      </c>
      <c r="T32" s="190">
        <f>'Jul 01'!B54</f>
        <v>33041.936</v>
      </c>
      <c r="U32" s="190">
        <f>'Aug 01'!B52</f>
        <v>49839.1556</v>
      </c>
      <c r="V32" s="190">
        <f>'Sep 01'!B59</f>
        <v>-188.9499999999989</v>
      </c>
      <c r="W32" s="190">
        <f>'Oct 01'!B63</f>
        <v>45769.7908</v>
      </c>
      <c r="X32" s="193">
        <f>'Nov 01'!B64</f>
        <v>25812.924400000004</v>
      </c>
      <c r="Y32" s="190">
        <f>'Dec 01'!B60</f>
        <v>34968.419200000004</v>
      </c>
      <c r="Z32" s="193">
        <f>'Jan 02'!B70</f>
        <v>39541.489199999996</v>
      </c>
      <c r="AA32" s="193">
        <f>'Feb 02'!B60</f>
        <v>32673.0092</v>
      </c>
      <c r="AB32" s="193">
        <f>'Mar 02'!B62</f>
        <v>30655.8448</v>
      </c>
      <c r="AC32" s="193">
        <f>'Invoices Apr-Aug 02'!P56</f>
        <v>203880.4</v>
      </c>
      <c r="AD32" s="193"/>
      <c r="AE32" s="193"/>
      <c r="AF32" s="193"/>
      <c r="AG32" s="190"/>
      <c r="AH32" s="190"/>
      <c r="AI32" s="261"/>
      <c r="AJ32" s="201"/>
    </row>
    <row r="33" spans="1:36" ht="13.5" thickBot="1">
      <c r="A33" s="181" t="s">
        <v>639</v>
      </c>
      <c r="B33" s="182"/>
      <c r="C33" s="195">
        <f aca="true" t="shared" si="8" ref="C33:S33">C31-C32</f>
        <v>0</v>
      </c>
      <c r="D33" s="195">
        <f t="shared" si="8"/>
        <v>0</v>
      </c>
      <c r="E33" s="195">
        <f t="shared" si="8"/>
        <v>0</v>
      </c>
      <c r="F33" s="196">
        <f t="shared" si="8"/>
        <v>0</v>
      </c>
      <c r="G33" s="197">
        <f t="shared" si="8"/>
        <v>0</v>
      </c>
      <c r="H33" s="197">
        <f t="shared" si="8"/>
        <v>0</v>
      </c>
      <c r="I33" s="198">
        <f t="shared" si="8"/>
        <v>0</v>
      </c>
      <c r="J33" s="195">
        <f t="shared" si="8"/>
        <v>0</v>
      </c>
      <c r="K33" s="195">
        <f t="shared" si="8"/>
        <v>0</v>
      </c>
      <c r="L33" s="195">
        <f t="shared" si="8"/>
        <v>0</v>
      </c>
      <c r="M33" s="195">
        <f t="shared" si="8"/>
        <v>-0.0007999999979801942</v>
      </c>
      <c r="N33" s="195">
        <f t="shared" si="8"/>
        <v>0</v>
      </c>
      <c r="O33" s="195">
        <f t="shared" si="8"/>
        <v>0</v>
      </c>
      <c r="P33" s="196">
        <f t="shared" si="8"/>
        <v>0</v>
      </c>
      <c r="Q33" s="195">
        <f t="shared" si="8"/>
        <v>0</v>
      </c>
      <c r="R33" s="195">
        <f t="shared" si="8"/>
        <v>0</v>
      </c>
      <c r="S33" s="195">
        <f t="shared" si="8"/>
        <v>0</v>
      </c>
      <c r="T33" s="195">
        <f aca="true" t="shared" si="9" ref="T33:AC33">T31-T32</f>
        <v>0</v>
      </c>
      <c r="U33" s="195">
        <f t="shared" si="9"/>
        <v>0</v>
      </c>
      <c r="V33" s="195">
        <f t="shared" si="9"/>
        <v>3.637978807091713E-12</v>
      </c>
      <c r="W33" s="195">
        <f t="shared" si="9"/>
        <v>0</v>
      </c>
      <c r="X33" s="198">
        <f t="shared" si="9"/>
        <v>0</v>
      </c>
      <c r="Y33" s="198">
        <f t="shared" si="9"/>
        <v>0</v>
      </c>
      <c r="Z33" s="198">
        <f t="shared" si="9"/>
        <v>0</v>
      </c>
      <c r="AA33" s="198">
        <f t="shared" si="9"/>
        <v>0</v>
      </c>
      <c r="AB33" s="198">
        <f t="shared" si="9"/>
        <v>0</v>
      </c>
      <c r="AC33" s="198">
        <f t="shared" si="9"/>
        <v>0</v>
      </c>
      <c r="AD33" s="198"/>
      <c r="AE33" s="198"/>
      <c r="AF33" s="198"/>
      <c r="AG33" s="195"/>
      <c r="AH33" s="195"/>
      <c r="AI33" s="262"/>
      <c r="AJ33" s="267"/>
    </row>
    <row r="34" spans="1:29" ht="12.75">
      <c r="A34" s="106"/>
      <c r="B34" s="106" t="s">
        <v>1211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>
        <v>32037.28</v>
      </c>
      <c r="S34" s="136">
        <v>18464.62</v>
      </c>
      <c r="T34" s="192"/>
      <c r="U34" s="192">
        <v>27669.74</v>
      </c>
      <c r="V34" s="192"/>
      <c r="W34" s="192"/>
      <c r="X34" s="192"/>
      <c r="Y34" s="192"/>
      <c r="Z34" s="192"/>
      <c r="AA34" s="192"/>
      <c r="AB34" s="192"/>
      <c r="AC34" s="192"/>
    </row>
    <row r="35" ht="13.5" thickBot="1"/>
    <row r="36" spans="1:7" ht="12.75">
      <c r="A36" s="174"/>
      <c r="B36" s="187"/>
      <c r="C36" s="162">
        <v>36647</v>
      </c>
      <c r="D36" s="163">
        <v>36678</v>
      </c>
      <c r="E36" s="163">
        <v>36708</v>
      </c>
      <c r="F36" s="163">
        <v>36739</v>
      </c>
      <c r="G36" s="183" t="s">
        <v>358</v>
      </c>
    </row>
    <row r="37" spans="1:7" ht="12.75">
      <c r="A37" s="176" t="s">
        <v>429</v>
      </c>
      <c r="B37" s="177" t="s">
        <v>1024</v>
      </c>
      <c r="C37" s="191"/>
      <c r="D37" s="192"/>
      <c r="E37" s="192"/>
      <c r="F37" s="193"/>
      <c r="G37" s="190"/>
    </row>
    <row r="38" spans="1:7" ht="12.75">
      <c r="A38" s="176" t="s">
        <v>370</v>
      </c>
      <c r="B38" s="188" t="s">
        <v>367</v>
      </c>
      <c r="C38" s="191">
        <v>1953.4668000000001</v>
      </c>
      <c r="D38" s="192">
        <v>6427.0923999999995</v>
      </c>
      <c r="E38" s="192"/>
      <c r="F38" s="193">
        <v>1903.65</v>
      </c>
      <c r="G38" s="190">
        <f aca="true" t="shared" si="10" ref="G38:G57">SUM(C38:F38)</f>
        <v>10284.2092</v>
      </c>
    </row>
    <row r="39" spans="1:7" ht="12.75">
      <c r="A39" s="176" t="s">
        <v>182</v>
      </c>
      <c r="B39" s="177" t="s">
        <v>855</v>
      </c>
      <c r="D39" s="192"/>
      <c r="E39" s="192"/>
      <c r="F39" s="193"/>
      <c r="G39" s="190">
        <f t="shared" si="10"/>
        <v>0</v>
      </c>
    </row>
    <row r="40" spans="1:7" ht="12.75">
      <c r="A40" s="176" t="s">
        <v>187</v>
      </c>
      <c r="B40" s="189" t="s">
        <v>1779</v>
      </c>
      <c r="C40" s="191">
        <v>1830.4047999999998</v>
      </c>
      <c r="D40" s="192"/>
      <c r="E40" s="194">
        <v>33.25</v>
      </c>
      <c r="F40" s="193"/>
      <c r="G40" s="190">
        <f t="shared" si="10"/>
        <v>1863.6547999999998</v>
      </c>
    </row>
    <row r="41" spans="1:7" ht="12.75">
      <c r="A41" s="176" t="s">
        <v>189</v>
      </c>
      <c r="B41" s="106" t="s">
        <v>851</v>
      </c>
      <c r="C41" s="191">
        <v>1084.7512</v>
      </c>
      <c r="D41" s="192">
        <v>7628.2256</v>
      </c>
      <c r="E41" s="192">
        <v>1017.9728</v>
      </c>
      <c r="F41" s="193">
        <v>5445.8768</v>
      </c>
      <c r="G41" s="190">
        <f t="shared" si="10"/>
        <v>15176.8264</v>
      </c>
    </row>
    <row r="42" spans="1:7" ht="12.75">
      <c r="A42" s="180" t="s">
        <v>190</v>
      </c>
      <c r="B42" s="179" t="s">
        <v>852</v>
      </c>
      <c r="D42" s="192"/>
      <c r="E42" s="192"/>
      <c r="G42" s="190">
        <f t="shared" si="10"/>
        <v>0</v>
      </c>
    </row>
    <row r="43" spans="1:9" ht="12.75">
      <c r="A43" s="176" t="s">
        <v>192</v>
      </c>
      <c r="B43" s="186" t="s">
        <v>1025</v>
      </c>
      <c r="C43" s="191"/>
      <c r="D43" s="192"/>
      <c r="E43" s="192"/>
      <c r="F43" s="193"/>
      <c r="G43" s="190">
        <f>SUM(C43:F43)</f>
        <v>0</v>
      </c>
      <c r="I43" s="136"/>
    </row>
    <row r="44" spans="1:7" ht="12.75">
      <c r="A44" s="176" t="s">
        <v>193</v>
      </c>
      <c r="B44" s="186" t="s">
        <v>1026</v>
      </c>
      <c r="C44" s="191"/>
      <c r="D44" s="192"/>
      <c r="E44" s="192"/>
      <c r="F44" s="193">
        <v>494.4</v>
      </c>
      <c r="G44" s="190">
        <f>SUM(C44:F44)</f>
        <v>494.4</v>
      </c>
    </row>
    <row r="45" spans="1:7" ht="12.75">
      <c r="A45" s="176" t="s">
        <v>195</v>
      </c>
      <c r="B45" s="186" t="s">
        <v>1029</v>
      </c>
      <c r="C45" s="191"/>
      <c r="D45" s="192"/>
      <c r="E45" s="192"/>
      <c r="F45" s="193"/>
      <c r="G45" s="190">
        <f>SUM(C45:F45)</f>
        <v>0</v>
      </c>
    </row>
    <row r="46" spans="1:7" ht="12.75">
      <c r="A46" s="176" t="s">
        <v>196</v>
      </c>
      <c r="B46" s="186" t="s">
        <v>1030</v>
      </c>
      <c r="C46" s="191"/>
      <c r="D46" s="192"/>
      <c r="E46" s="192"/>
      <c r="F46" s="193"/>
      <c r="G46" s="190">
        <f>SUM(C46:F46)</f>
        <v>0</v>
      </c>
    </row>
    <row r="47" spans="1:7" ht="12.75">
      <c r="A47" s="176" t="s">
        <v>198</v>
      </c>
      <c r="B47" s="186" t="s">
        <v>1099</v>
      </c>
      <c r="C47" s="191"/>
      <c r="D47" s="192"/>
      <c r="E47" s="192"/>
      <c r="F47" s="193"/>
      <c r="G47" s="190"/>
    </row>
    <row r="48" spans="1:7" ht="12.75">
      <c r="A48" s="176" t="s">
        <v>199</v>
      </c>
      <c r="B48" s="186" t="s">
        <v>1100</v>
      </c>
      <c r="C48" s="191"/>
      <c r="D48" s="192"/>
      <c r="E48" s="192"/>
      <c r="F48" s="193"/>
      <c r="G48" s="190"/>
    </row>
    <row r="49" spans="1:7" ht="12.75">
      <c r="A49" s="176" t="s">
        <v>200</v>
      </c>
      <c r="B49" s="186" t="s">
        <v>1101</v>
      </c>
      <c r="C49" s="191"/>
      <c r="D49" s="192"/>
      <c r="E49" s="192"/>
      <c r="F49" s="193"/>
      <c r="G49" s="190"/>
    </row>
    <row r="50" spans="1:7" ht="12.75">
      <c r="A50" s="176" t="s">
        <v>17</v>
      </c>
      <c r="B50" s="186" t="s">
        <v>18</v>
      </c>
      <c r="C50" s="191"/>
      <c r="D50" s="192"/>
      <c r="E50" s="192"/>
      <c r="F50" s="193"/>
      <c r="G50" s="190"/>
    </row>
    <row r="51" spans="1:7" ht="12.75">
      <c r="A51" s="180" t="s">
        <v>60</v>
      </c>
      <c r="B51" s="106" t="s">
        <v>847</v>
      </c>
      <c r="C51" s="191"/>
      <c r="D51" s="192">
        <v>5226.6</v>
      </c>
      <c r="E51" s="192"/>
      <c r="F51" s="193"/>
      <c r="G51" s="190">
        <f t="shared" si="10"/>
        <v>5226.6</v>
      </c>
    </row>
    <row r="52" spans="1:7" ht="12.75">
      <c r="A52" s="180" t="s">
        <v>62</v>
      </c>
      <c r="B52" s="106" t="s">
        <v>848</v>
      </c>
      <c r="C52" s="191">
        <v>247.5</v>
      </c>
      <c r="D52" s="192">
        <v>1048.44</v>
      </c>
      <c r="E52" s="192"/>
      <c r="F52" s="193"/>
      <c r="G52" s="190">
        <f t="shared" si="10"/>
        <v>1295.94</v>
      </c>
    </row>
    <row r="53" spans="1:7" ht="12.75">
      <c r="A53" s="180" t="s">
        <v>64</v>
      </c>
      <c r="B53" s="106" t="s">
        <v>853</v>
      </c>
      <c r="C53" s="191">
        <v>1778.2</v>
      </c>
      <c r="D53" s="192">
        <v>2771.4628000000002</v>
      </c>
      <c r="E53" s="192"/>
      <c r="F53" s="193"/>
      <c r="G53" s="190">
        <f t="shared" si="10"/>
        <v>4549.6628</v>
      </c>
    </row>
    <row r="54" spans="1:7" ht="12.75">
      <c r="A54" s="176" t="s">
        <v>68</v>
      </c>
      <c r="B54" s="106" t="s">
        <v>849</v>
      </c>
      <c r="C54" s="191">
        <v>8808.7</v>
      </c>
      <c r="D54" s="192"/>
      <c r="E54" s="192"/>
      <c r="F54" s="193">
        <v>2315.76</v>
      </c>
      <c r="G54" s="190">
        <f t="shared" si="10"/>
        <v>11124.460000000001</v>
      </c>
    </row>
    <row r="55" spans="1:7" ht="12.75">
      <c r="A55" s="176" t="s">
        <v>70</v>
      </c>
      <c r="B55" s="106" t="s">
        <v>850</v>
      </c>
      <c r="C55" s="191"/>
      <c r="D55" s="192">
        <v>2904</v>
      </c>
      <c r="E55" s="192"/>
      <c r="F55" s="193">
        <v>77.7</v>
      </c>
      <c r="G55" s="190">
        <f t="shared" si="10"/>
        <v>2981.7</v>
      </c>
    </row>
    <row r="56" spans="1:7" ht="12.75">
      <c r="A56" s="176" t="s">
        <v>89</v>
      </c>
      <c r="B56" s="106" t="s">
        <v>854</v>
      </c>
      <c r="C56" s="191"/>
      <c r="D56" s="192"/>
      <c r="E56" s="192"/>
      <c r="F56" s="193"/>
      <c r="G56" s="190"/>
    </row>
    <row r="57" spans="1:7" ht="12.75">
      <c r="A57" s="180" t="s">
        <v>124</v>
      </c>
      <c r="B57" s="106" t="s">
        <v>846</v>
      </c>
      <c r="C57" s="191"/>
      <c r="D57" s="192">
        <v>13356.836</v>
      </c>
      <c r="E57" s="192">
        <v>3380.0396</v>
      </c>
      <c r="F57" s="193">
        <v>9264.4672</v>
      </c>
      <c r="G57" s="190">
        <f t="shared" si="10"/>
        <v>26001.3428</v>
      </c>
    </row>
    <row r="58" spans="1:7" ht="12.75">
      <c r="A58" s="180" t="s">
        <v>1033</v>
      </c>
      <c r="B58" s="179" t="s">
        <v>1102</v>
      </c>
      <c r="C58" s="192"/>
      <c r="D58" s="192"/>
      <c r="E58" s="192"/>
      <c r="F58" s="192"/>
      <c r="G58" s="190"/>
    </row>
    <row r="59" spans="1:7" ht="12.75">
      <c r="A59" s="180" t="s">
        <v>1062</v>
      </c>
      <c r="B59" s="179" t="s">
        <v>1103</v>
      </c>
      <c r="C59" s="192"/>
      <c r="D59" s="192"/>
      <c r="E59" s="192"/>
      <c r="F59" s="192"/>
      <c r="G59" s="190"/>
    </row>
    <row r="60" spans="1:7" ht="12.75">
      <c r="A60" s="180" t="s">
        <v>1104</v>
      </c>
      <c r="B60" s="179" t="s">
        <v>1105</v>
      </c>
      <c r="C60" s="192"/>
      <c r="D60" s="192"/>
      <c r="E60" s="192"/>
      <c r="F60" s="192"/>
      <c r="G60" s="190"/>
    </row>
    <row r="61" spans="1:7" ht="13.5" thickBot="1">
      <c r="A61" s="181"/>
      <c r="B61" s="182" t="s">
        <v>358</v>
      </c>
      <c r="C61" s="197">
        <f>SUM(C37:C57)</f>
        <v>15703.0228</v>
      </c>
      <c r="D61" s="197">
        <f>SUM(D37:D57)</f>
        <v>39362.6568</v>
      </c>
      <c r="E61" s="197">
        <f>SUM(E37:E57)</f>
        <v>4431.2624</v>
      </c>
      <c r="F61" s="197">
        <f>SUM(F37:F57)</f>
        <v>19501.854</v>
      </c>
      <c r="G61" s="195">
        <f>SUM(G37:G60)</f>
        <v>78998.796</v>
      </c>
    </row>
    <row r="62" ht="12.75">
      <c r="G62" s="136"/>
    </row>
    <row r="64" ht="13.5" thickBot="1"/>
    <row r="65" spans="1:8" ht="12.75">
      <c r="A65" s="174"/>
      <c r="B65" s="175"/>
      <c r="C65" s="161" t="s">
        <v>465</v>
      </c>
      <c r="D65" s="161">
        <v>36923</v>
      </c>
      <c r="E65" s="161">
        <v>37012</v>
      </c>
      <c r="F65" s="161">
        <v>37043</v>
      </c>
      <c r="G65" s="161">
        <v>37104</v>
      </c>
      <c r="H65" s="265" t="s">
        <v>237</v>
      </c>
    </row>
    <row r="66" spans="1:8" ht="12.75">
      <c r="A66" s="176" t="s">
        <v>429</v>
      </c>
      <c r="B66" s="177" t="s">
        <v>1024</v>
      </c>
      <c r="C66" s="190">
        <f>G37</f>
        <v>0</v>
      </c>
      <c r="D66" s="190" t="s">
        <v>227</v>
      </c>
      <c r="E66" s="194"/>
      <c r="F66" s="190"/>
      <c r="G66" s="193"/>
      <c r="H66" s="190">
        <f>SUM(C66:G66)</f>
        <v>0</v>
      </c>
    </row>
    <row r="67" spans="1:8" ht="12.75">
      <c r="A67" s="176" t="s">
        <v>370</v>
      </c>
      <c r="B67" s="177" t="s">
        <v>367</v>
      </c>
      <c r="C67" s="190">
        <f aca="true" t="shared" si="11" ref="C67:C89">G38</f>
        <v>10284.2092</v>
      </c>
      <c r="D67" s="190"/>
      <c r="E67" s="194">
        <v>9957.8988</v>
      </c>
      <c r="F67" s="190">
        <v>6031.8436</v>
      </c>
      <c r="G67" s="193"/>
      <c r="H67" s="190">
        <f aca="true" t="shared" si="12" ref="H67:H89">SUM(C67:G67)</f>
        <v>26273.9516</v>
      </c>
    </row>
    <row r="68" spans="1:8" ht="12.75">
      <c r="A68" s="176" t="s">
        <v>182</v>
      </c>
      <c r="B68" s="177" t="s">
        <v>855</v>
      </c>
      <c r="C68" s="190">
        <f t="shared" si="11"/>
        <v>0</v>
      </c>
      <c r="D68" s="190" t="s">
        <v>227</v>
      </c>
      <c r="E68" s="194" t="s">
        <v>227</v>
      </c>
      <c r="F68" s="190" t="s">
        <v>227</v>
      </c>
      <c r="G68" s="193"/>
      <c r="H68" s="190">
        <f t="shared" si="12"/>
        <v>0</v>
      </c>
    </row>
    <row r="69" spans="1:8" ht="12.75">
      <c r="A69" s="176" t="s">
        <v>187</v>
      </c>
      <c r="B69" s="178" t="s">
        <v>1779</v>
      </c>
      <c r="C69" s="190">
        <f t="shared" si="11"/>
        <v>1863.6547999999998</v>
      </c>
      <c r="D69" s="190" t="s">
        <v>227</v>
      </c>
      <c r="E69" s="194" t="s">
        <v>227</v>
      </c>
      <c r="F69" s="190"/>
      <c r="G69" s="193"/>
      <c r="H69" s="190">
        <f t="shared" si="12"/>
        <v>1863.6547999999998</v>
      </c>
    </row>
    <row r="70" spans="1:8" ht="12.75">
      <c r="A70" s="176" t="s">
        <v>189</v>
      </c>
      <c r="B70" s="179" t="s">
        <v>851</v>
      </c>
      <c r="C70" s="190">
        <f t="shared" si="11"/>
        <v>15176.8264</v>
      </c>
      <c r="D70" s="190">
        <v>1842.27</v>
      </c>
      <c r="E70" s="194" t="s">
        <v>227</v>
      </c>
      <c r="F70" s="190"/>
      <c r="G70" s="193"/>
      <c r="H70" s="190">
        <f t="shared" si="12"/>
        <v>17019.0964</v>
      </c>
    </row>
    <row r="71" spans="1:8" ht="12.75">
      <c r="A71" s="180" t="s">
        <v>190</v>
      </c>
      <c r="B71" s="179" t="s">
        <v>852</v>
      </c>
      <c r="C71" s="190">
        <f t="shared" si="11"/>
        <v>0</v>
      </c>
      <c r="D71" s="190">
        <v>5399.06</v>
      </c>
      <c r="E71" s="194"/>
      <c r="F71" s="190"/>
      <c r="G71" s="201"/>
      <c r="H71" s="190">
        <f t="shared" si="12"/>
        <v>5399.06</v>
      </c>
    </row>
    <row r="72" spans="1:8" ht="12.75">
      <c r="A72" s="176" t="s">
        <v>192</v>
      </c>
      <c r="B72" s="186" t="s">
        <v>1025</v>
      </c>
      <c r="C72" s="190">
        <f t="shared" si="11"/>
        <v>0</v>
      </c>
      <c r="D72" s="190" t="s">
        <v>227</v>
      </c>
      <c r="E72" s="194" t="s">
        <v>227</v>
      </c>
      <c r="F72" s="190"/>
      <c r="G72" s="193"/>
      <c r="H72" s="190">
        <f t="shared" si="12"/>
        <v>0</v>
      </c>
    </row>
    <row r="73" spans="1:8" ht="12.75">
      <c r="A73" s="176" t="s">
        <v>193</v>
      </c>
      <c r="B73" s="186" t="s">
        <v>1026</v>
      </c>
      <c r="C73" s="190">
        <f t="shared" si="11"/>
        <v>494.4</v>
      </c>
      <c r="D73" s="190" t="s">
        <v>227</v>
      </c>
      <c r="E73" s="194" t="s">
        <v>227</v>
      </c>
      <c r="F73" s="190"/>
      <c r="G73" s="193"/>
      <c r="H73" s="190">
        <f t="shared" si="12"/>
        <v>494.4</v>
      </c>
    </row>
    <row r="74" spans="1:8" ht="12.75">
      <c r="A74" s="176" t="s">
        <v>195</v>
      </c>
      <c r="B74" s="186" t="s">
        <v>1029</v>
      </c>
      <c r="C74" s="190">
        <f t="shared" si="11"/>
        <v>0</v>
      </c>
      <c r="D74" s="190" t="s">
        <v>227</v>
      </c>
      <c r="E74" s="194" t="s">
        <v>227</v>
      </c>
      <c r="F74" s="190"/>
      <c r="G74" s="193">
        <v>22169.42</v>
      </c>
      <c r="H74" s="190">
        <f t="shared" si="12"/>
        <v>22169.42</v>
      </c>
    </row>
    <row r="75" spans="1:8" ht="12.75">
      <c r="A75" s="176" t="s">
        <v>196</v>
      </c>
      <c r="B75" s="186" t="s">
        <v>1030</v>
      </c>
      <c r="C75" s="190">
        <f t="shared" si="11"/>
        <v>0</v>
      </c>
      <c r="D75" s="190" t="s">
        <v>227</v>
      </c>
      <c r="E75" s="194" t="s">
        <v>227</v>
      </c>
      <c r="F75" s="190"/>
      <c r="G75" s="193" t="s">
        <v>227</v>
      </c>
      <c r="H75" s="190">
        <f t="shared" si="12"/>
        <v>0</v>
      </c>
    </row>
    <row r="76" spans="1:8" ht="12.75">
      <c r="A76" s="176" t="s">
        <v>198</v>
      </c>
      <c r="B76" s="186" t="s">
        <v>1099</v>
      </c>
      <c r="C76" s="190">
        <f t="shared" si="11"/>
        <v>0</v>
      </c>
      <c r="D76" s="190" t="s">
        <v>227</v>
      </c>
      <c r="E76" s="194" t="s">
        <v>227</v>
      </c>
      <c r="F76" s="190"/>
      <c r="G76" s="193" t="s">
        <v>227</v>
      </c>
      <c r="H76" s="190">
        <f t="shared" si="12"/>
        <v>0</v>
      </c>
    </row>
    <row r="77" spans="1:8" ht="12.75">
      <c r="A77" s="176" t="s">
        <v>199</v>
      </c>
      <c r="B77" s="186" t="s">
        <v>1100</v>
      </c>
      <c r="C77" s="190">
        <f t="shared" si="11"/>
        <v>0</v>
      </c>
      <c r="D77" s="190" t="s">
        <v>227</v>
      </c>
      <c r="E77" s="194" t="s">
        <v>227</v>
      </c>
      <c r="F77" s="190"/>
      <c r="G77" s="193" t="s">
        <v>227</v>
      </c>
      <c r="H77" s="190">
        <f t="shared" si="12"/>
        <v>0</v>
      </c>
    </row>
    <row r="78" spans="1:8" ht="12.75">
      <c r="A78" s="176" t="s">
        <v>200</v>
      </c>
      <c r="B78" s="186" t="s">
        <v>1101</v>
      </c>
      <c r="C78" s="190">
        <f>G49</f>
        <v>0</v>
      </c>
      <c r="D78" s="190" t="s">
        <v>227</v>
      </c>
      <c r="E78" s="194" t="s">
        <v>227</v>
      </c>
      <c r="F78" s="190"/>
      <c r="G78" s="193" t="s">
        <v>227</v>
      </c>
      <c r="H78" s="190">
        <f t="shared" si="12"/>
        <v>0</v>
      </c>
    </row>
    <row r="79" spans="1:8" ht="12.75">
      <c r="A79" s="176" t="s">
        <v>17</v>
      </c>
      <c r="B79" s="186" t="s">
        <v>18</v>
      </c>
      <c r="C79" s="190">
        <f t="shared" si="11"/>
        <v>0</v>
      </c>
      <c r="D79" s="190" t="s">
        <v>227</v>
      </c>
      <c r="E79" s="194" t="s">
        <v>227</v>
      </c>
      <c r="F79" s="190"/>
      <c r="G79" s="193" t="s">
        <v>227</v>
      </c>
      <c r="H79" s="190">
        <f t="shared" si="12"/>
        <v>0</v>
      </c>
    </row>
    <row r="80" spans="1:8" ht="12.75">
      <c r="A80" s="180" t="s">
        <v>60</v>
      </c>
      <c r="B80" s="179" t="s">
        <v>847</v>
      </c>
      <c r="C80" s="190">
        <f t="shared" si="11"/>
        <v>5226.6</v>
      </c>
      <c r="D80" s="190" t="s">
        <v>227</v>
      </c>
      <c r="E80" s="194"/>
      <c r="F80" s="190"/>
      <c r="G80" s="193" t="s">
        <v>227</v>
      </c>
      <c r="H80" s="190">
        <f t="shared" si="12"/>
        <v>5226.6</v>
      </c>
    </row>
    <row r="81" spans="1:8" ht="12.75">
      <c r="A81" s="180" t="s">
        <v>62</v>
      </c>
      <c r="B81" s="179" t="s">
        <v>848</v>
      </c>
      <c r="C81" s="190">
        <f t="shared" si="11"/>
        <v>1295.94</v>
      </c>
      <c r="D81" s="190" t="s">
        <v>227</v>
      </c>
      <c r="E81" s="194"/>
      <c r="F81" s="190"/>
      <c r="G81" s="193" t="s">
        <v>227</v>
      </c>
      <c r="H81" s="190">
        <f t="shared" si="12"/>
        <v>1295.94</v>
      </c>
    </row>
    <row r="82" spans="1:8" ht="12.75">
      <c r="A82" s="180" t="s">
        <v>64</v>
      </c>
      <c r="B82" s="179" t="s">
        <v>853</v>
      </c>
      <c r="C82" s="190">
        <f t="shared" si="11"/>
        <v>4549.6628</v>
      </c>
      <c r="D82" s="190"/>
      <c r="E82" s="194"/>
      <c r="F82" s="190"/>
      <c r="G82" s="193"/>
      <c r="H82" s="190">
        <f t="shared" si="12"/>
        <v>4549.6628</v>
      </c>
    </row>
    <row r="83" spans="1:8" ht="12.75">
      <c r="A83" s="176" t="s">
        <v>68</v>
      </c>
      <c r="B83" s="179" t="s">
        <v>849</v>
      </c>
      <c r="C83" s="190">
        <f t="shared" si="11"/>
        <v>11124.460000000001</v>
      </c>
      <c r="D83" s="190"/>
      <c r="E83" s="194"/>
      <c r="F83" s="190"/>
      <c r="G83" s="193"/>
      <c r="H83" s="190">
        <f t="shared" si="12"/>
        <v>11124.460000000001</v>
      </c>
    </row>
    <row r="84" spans="1:8" ht="12.75">
      <c r="A84" s="176" t="s">
        <v>70</v>
      </c>
      <c r="B84" s="179" t="s">
        <v>850</v>
      </c>
      <c r="C84" s="190">
        <f t="shared" si="11"/>
        <v>2981.7</v>
      </c>
      <c r="D84" s="190"/>
      <c r="E84" s="194"/>
      <c r="F84" s="190"/>
      <c r="G84" s="193"/>
      <c r="H84" s="190">
        <f t="shared" si="12"/>
        <v>2981.7</v>
      </c>
    </row>
    <row r="85" spans="1:8" ht="12.75">
      <c r="A85" s="176" t="s">
        <v>89</v>
      </c>
      <c r="B85" s="179" t="s">
        <v>854</v>
      </c>
      <c r="C85" s="190">
        <f t="shared" si="11"/>
        <v>0</v>
      </c>
      <c r="D85" s="190"/>
      <c r="E85" s="194"/>
      <c r="F85" s="190"/>
      <c r="G85" s="193"/>
      <c r="H85" s="190">
        <f t="shared" si="12"/>
        <v>0</v>
      </c>
    </row>
    <row r="86" spans="1:8" ht="12.75">
      <c r="A86" s="180" t="s">
        <v>124</v>
      </c>
      <c r="B86" s="179" t="s">
        <v>846</v>
      </c>
      <c r="C86" s="190">
        <f>G57</f>
        <v>26001.3428</v>
      </c>
      <c r="D86" s="190"/>
      <c r="E86" s="194"/>
      <c r="F86" s="190"/>
      <c r="G86" s="193"/>
      <c r="H86" s="190">
        <f t="shared" si="12"/>
        <v>26001.3428</v>
      </c>
    </row>
    <row r="87" spans="1:8" ht="12.75">
      <c r="A87" s="180" t="s">
        <v>1033</v>
      </c>
      <c r="B87" s="179" t="s">
        <v>1102</v>
      </c>
      <c r="C87" s="190">
        <f t="shared" si="11"/>
        <v>0</v>
      </c>
      <c r="D87" s="190" t="s">
        <v>227</v>
      </c>
      <c r="E87" s="194" t="s">
        <v>227</v>
      </c>
      <c r="F87" s="190"/>
      <c r="G87" s="193" t="s">
        <v>227</v>
      </c>
      <c r="H87" s="190">
        <f t="shared" si="12"/>
        <v>0</v>
      </c>
    </row>
    <row r="88" spans="1:8" ht="12.75">
      <c r="A88" s="180" t="s">
        <v>1062</v>
      </c>
      <c r="B88" s="179" t="s">
        <v>1103</v>
      </c>
      <c r="C88" s="190">
        <f t="shared" si="11"/>
        <v>0</v>
      </c>
      <c r="D88" s="190" t="s">
        <v>227</v>
      </c>
      <c r="E88" s="194" t="s">
        <v>227</v>
      </c>
      <c r="F88" s="190" t="s">
        <v>227</v>
      </c>
      <c r="G88" s="193" t="s">
        <v>227</v>
      </c>
      <c r="H88" s="190">
        <f t="shared" si="12"/>
        <v>0</v>
      </c>
    </row>
    <row r="89" spans="1:8" ht="12.75">
      <c r="A89" s="180" t="s">
        <v>1104</v>
      </c>
      <c r="B89" s="179" t="s">
        <v>1105</v>
      </c>
      <c r="C89" s="190">
        <f t="shared" si="11"/>
        <v>0</v>
      </c>
      <c r="D89" s="190" t="s">
        <v>227</v>
      </c>
      <c r="E89" s="194" t="s">
        <v>227</v>
      </c>
      <c r="F89" s="190" t="s">
        <v>227</v>
      </c>
      <c r="G89" s="193" t="s">
        <v>227</v>
      </c>
      <c r="H89" s="190">
        <f t="shared" si="12"/>
        <v>0</v>
      </c>
    </row>
    <row r="90" spans="1:8" ht="13.5" thickBot="1">
      <c r="A90" s="181" t="s">
        <v>358</v>
      </c>
      <c r="B90" s="182"/>
      <c r="C90" s="195">
        <f>SUM(C66:C86)</f>
        <v>78998.796</v>
      </c>
      <c r="D90" s="195">
        <f>SUM(D66:D86)</f>
        <v>7241.33</v>
      </c>
      <c r="E90" s="195">
        <f>SUM(E66:E86)</f>
        <v>9957.8988</v>
      </c>
      <c r="F90" s="195">
        <f>SUM(F66:F89)</f>
        <v>6031.8436</v>
      </c>
      <c r="G90" s="195">
        <f>SUM(G66:G89)</f>
        <v>22169.42</v>
      </c>
      <c r="H90" s="195">
        <f>SUM(H66:H89)</f>
        <v>124399.28840000002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6"/>
  <dimension ref="A1:P111"/>
  <sheetViews>
    <sheetView workbookViewId="0" topLeftCell="E16">
      <selection activeCell="P55" sqref="P55"/>
    </sheetView>
  </sheetViews>
  <sheetFormatPr defaultColWidth="9.140625" defaultRowHeight="12.75"/>
  <cols>
    <col min="1" max="1" width="0" style="305" hidden="1" customWidth="1"/>
    <col min="2" max="4" width="0" style="306" hidden="1" customWidth="1"/>
    <col min="5" max="5" width="27.8515625" style="306" customWidth="1"/>
    <col min="6" max="7" width="0" style="306" hidden="1" customWidth="1"/>
    <col min="8" max="8" width="12.421875" style="309" bestFit="1" customWidth="1"/>
    <col min="9" max="9" width="10.8515625" style="309" bestFit="1" customWidth="1"/>
    <col min="10" max="10" width="12.421875" style="310" bestFit="1" customWidth="1"/>
    <col min="11" max="11" width="12.421875" style="454" customWidth="1"/>
    <col min="12" max="14" width="12.421875" style="455" customWidth="1"/>
    <col min="15" max="15" width="13.140625" style="462" customWidth="1"/>
    <col min="16" max="16" width="11.28125" style="450" customWidth="1"/>
    <col min="17" max="16384" width="9.140625" style="306" customWidth="1"/>
  </cols>
  <sheetData>
    <row r="1" spans="1:16" s="302" customFormat="1" ht="27.75" customHeight="1">
      <c r="A1" s="301" t="s">
        <v>1484</v>
      </c>
      <c r="B1" s="302" t="s">
        <v>1485</v>
      </c>
      <c r="C1" s="302" t="s">
        <v>1486</v>
      </c>
      <c r="D1" s="302" t="s">
        <v>1487</v>
      </c>
      <c r="E1" s="303" t="s">
        <v>1488</v>
      </c>
      <c r="F1" s="303" t="s">
        <v>1489</v>
      </c>
      <c r="G1" s="303" t="s">
        <v>1490</v>
      </c>
      <c r="H1" s="303" t="s">
        <v>1491</v>
      </c>
      <c r="I1" s="303" t="s">
        <v>1238</v>
      </c>
      <c r="J1" s="304" t="s">
        <v>1492</v>
      </c>
      <c r="K1" s="451" t="s">
        <v>1493</v>
      </c>
      <c r="L1" s="452" t="s">
        <v>1494</v>
      </c>
      <c r="M1" s="452" t="s">
        <v>1495</v>
      </c>
      <c r="N1" s="452" t="s">
        <v>1566</v>
      </c>
      <c r="O1" s="453" t="s">
        <v>1496</v>
      </c>
      <c r="P1" s="449" t="s">
        <v>237</v>
      </c>
    </row>
    <row r="2" spans="1:15" ht="12.75">
      <c r="A2" s="305">
        <v>1</v>
      </c>
      <c r="B2" s="306" t="s">
        <v>1497</v>
      </c>
      <c r="C2" s="306" t="s">
        <v>1498</v>
      </c>
      <c r="D2" s="306" t="s">
        <v>1499</v>
      </c>
      <c r="E2" s="307" t="s">
        <v>1526</v>
      </c>
      <c r="F2" s="306" t="s">
        <v>1527</v>
      </c>
      <c r="G2" s="308">
        <v>35915</v>
      </c>
      <c r="H2" s="309">
        <v>0</v>
      </c>
      <c r="I2" s="309">
        <v>0</v>
      </c>
      <c r="J2" s="310">
        <v>0</v>
      </c>
      <c r="O2" s="456"/>
    </row>
    <row r="3" spans="1:15" ht="12.75">
      <c r="A3" s="305">
        <v>2</v>
      </c>
      <c r="B3" s="306" t="s">
        <v>1497</v>
      </c>
      <c r="C3" s="306" t="s">
        <v>1498</v>
      </c>
      <c r="D3" s="306" t="s">
        <v>1499</v>
      </c>
      <c r="E3" s="307" t="s">
        <v>1528</v>
      </c>
      <c r="F3" s="306" t="s">
        <v>1527</v>
      </c>
      <c r="G3" s="308">
        <v>35915</v>
      </c>
      <c r="H3" s="309">
        <v>0</v>
      </c>
      <c r="I3" s="309">
        <v>0</v>
      </c>
      <c r="J3" s="310">
        <v>0</v>
      </c>
      <c r="O3" s="456"/>
    </row>
    <row r="4" spans="1:15" ht="12.75">
      <c r="A4" s="305">
        <v>3</v>
      </c>
      <c r="B4" s="306" t="s">
        <v>1497</v>
      </c>
      <c r="C4" s="306" t="s">
        <v>1498</v>
      </c>
      <c r="D4" s="306" t="s">
        <v>1499</v>
      </c>
      <c r="E4" s="307" t="s">
        <v>1529</v>
      </c>
      <c r="F4" s="306" t="s">
        <v>1527</v>
      </c>
      <c r="G4" s="308">
        <v>35915</v>
      </c>
      <c r="H4" s="309">
        <v>0</v>
      </c>
      <c r="I4" s="309">
        <v>0</v>
      </c>
      <c r="J4" s="310">
        <v>0</v>
      </c>
      <c r="O4" s="456"/>
    </row>
    <row r="5" spans="1:15" ht="12.75">
      <c r="A5" s="305">
        <v>4</v>
      </c>
      <c r="B5" s="306" t="s">
        <v>1530</v>
      </c>
      <c r="C5" s="306" t="s">
        <v>1498</v>
      </c>
      <c r="D5" s="306" t="s">
        <v>1531</v>
      </c>
      <c r="E5" s="306" t="s">
        <v>1532</v>
      </c>
      <c r="F5" s="306" t="s">
        <v>1527</v>
      </c>
      <c r="G5" s="308">
        <v>37222</v>
      </c>
      <c r="H5" s="309">
        <v>12808</v>
      </c>
      <c r="I5" s="309">
        <v>12808</v>
      </c>
      <c r="J5" s="310">
        <v>0</v>
      </c>
      <c r="O5" s="456"/>
    </row>
    <row r="6" spans="2:15" ht="12.75">
      <c r="B6" s="306" t="s">
        <v>1533</v>
      </c>
      <c r="C6" s="306" t="s">
        <v>1498</v>
      </c>
      <c r="D6" s="306" t="s">
        <v>1531</v>
      </c>
      <c r="E6" s="306" t="s">
        <v>1532</v>
      </c>
      <c r="F6" s="306" t="s">
        <v>1527</v>
      </c>
      <c r="G6" s="308">
        <v>37222</v>
      </c>
      <c r="H6" s="309">
        <v>78814</v>
      </c>
      <c r="I6" s="309">
        <v>28330.06</v>
      </c>
      <c r="J6" s="310">
        <v>50483.94</v>
      </c>
      <c r="O6" s="456"/>
    </row>
    <row r="7" spans="1:15" ht="12.75">
      <c r="A7" s="305">
        <v>5</v>
      </c>
      <c r="B7" s="306" t="s">
        <v>1530</v>
      </c>
      <c r="C7" s="306" t="s">
        <v>1498</v>
      </c>
      <c r="D7" s="306" t="s">
        <v>1534</v>
      </c>
      <c r="E7" s="306" t="s">
        <v>1262</v>
      </c>
      <c r="F7" s="306" t="s">
        <v>1527</v>
      </c>
      <c r="G7" s="308">
        <v>36028.438935185186</v>
      </c>
      <c r="H7" s="309">
        <v>4357.06</v>
      </c>
      <c r="I7" s="309">
        <v>0</v>
      </c>
      <c r="J7" s="310">
        <v>4357.06</v>
      </c>
      <c r="O7" s="456"/>
    </row>
    <row r="8" spans="1:15" ht="12.75">
      <c r="A8" s="305">
        <v>6</v>
      </c>
      <c r="B8" s="306" t="s">
        <v>1530</v>
      </c>
      <c r="C8" s="306" t="s">
        <v>1498</v>
      </c>
      <c r="D8" s="306" t="s">
        <v>1499</v>
      </c>
      <c r="E8" s="306" t="s">
        <v>1267</v>
      </c>
      <c r="F8" s="306" t="s">
        <v>1527</v>
      </c>
      <c r="G8" s="308">
        <v>36028.438935185186</v>
      </c>
      <c r="H8" s="309">
        <v>30738.74</v>
      </c>
      <c r="I8" s="309">
        <v>0</v>
      </c>
      <c r="J8" s="310">
        <v>30738.74</v>
      </c>
      <c r="O8" s="456"/>
    </row>
    <row r="9" spans="2:15" ht="12.75">
      <c r="B9" s="306" t="s">
        <v>1533</v>
      </c>
      <c r="C9" s="306" t="s">
        <v>1498</v>
      </c>
      <c r="D9" s="306" t="s">
        <v>1499</v>
      </c>
      <c r="E9" s="306" t="s">
        <v>1267</v>
      </c>
      <c r="F9" s="306" t="s">
        <v>1527</v>
      </c>
      <c r="G9" s="308">
        <v>36629.64372685185</v>
      </c>
      <c r="H9" s="309">
        <v>0</v>
      </c>
      <c r="I9" s="309">
        <v>0</v>
      </c>
      <c r="J9" s="310">
        <v>0</v>
      </c>
      <c r="O9" s="456"/>
    </row>
    <row r="10" spans="1:15" ht="12.75">
      <c r="A10" s="305">
        <v>7</v>
      </c>
      <c r="B10" s="306" t="s">
        <v>1530</v>
      </c>
      <c r="C10" s="306" t="s">
        <v>1498</v>
      </c>
      <c r="D10" s="306" t="s">
        <v>1535</v>
      </c>
      <c r="E10" s="306" t="s">
        <v>1536</v>
      </c>
      <c r="F10" s="306" t="s">
        <v>1527</v>
      </c>
      <c r="G10" s="308">
        <v>36199.43712962963</v>
      </c>
      <c r="H10" s="309">
        <v>0</v>
      </c>
      <c r="I10" s="309">
        <v>0</v>
      </c>
      <c r="J10" s="310">
        <v>0</v>
      </c>
      <c r="O10" s="456"/>
    </row>
    <row r="11" spans="1:15" ht="12.75">
      <c r="A11" s="305">
        <v>8</v>
      </c>
      <c r="B11" s="306" t="s">
        <v>1530</v>
      </c>
      <c r="C11" s="306" t="s">
        <v>1498</v>
      </c>
      <c r="D11" s="306" t="s">
        <v>1537</v>
      </c>
      <c r="E11" s="306" t="s">
        <v>1255</v>
      </c>
      <c r="F11" s="306" t="s">
        <v>1527</v>
      </c>
      <c r="G11" s="308">
        <v>36199.43712962963</v>
      </c>
      <c r="H11" s="309">
        <v>0</v>
      </c>
      <c r="I11" s="309">
        <v>0</v>
      </c>
      <c r="J11" s="310">
        <v>0</v>
      </c>
      <c r="O11" s="456"/>
    </row>
    <row r="12" spans="1:16" ht="12.75">
      <c r="A12" s="305">
        <v>9</v>
      </c>
      <c r="B12" s="306" t="s">
        <v>1530</v>
      </c>
      <c r="C12" s="306" t="s">
        <v>1498</v>
      </c>
      <c r="D12" s="306" t="s">
        <v>1538</v>
      </c>
      <c r="E12" s="306" t="s">
        <v>1241</v>
      </c>
      <c r="F12" s="306" t="s">
        <v>1527</v>
      </c>
      <c r="G12" s="308">
        <v>36199.43712962963</v>
      </c>
      <c r="H12" s="309">
        <v>0</v>
      </c>
      <c r="I12" s="309">
        <v>0</v>
      </c>
      <c r="J12" s="310">
        <v>0</v>
      </c>
      <c r="K12" s="454">
        <f>'Apr 02'!E65</f>
        <v>1140.4</v>
      </c>
      <c r="M12" s="455">
        <f>'Jun 02'!E81</f>
        <v>2766.9102440000497</v>
      </c>
      <c r="O12" s="456"/>
      <c r="P12" s="450">
        <f>SUM(K12:O12)</f>
        <v>3907.31024400005</v>
      </c>
    </row>
    <row r="13" spans="1:15" ht="12.75">
      <c r="A13" s="305">
        <v>10</v>
      </c>
      <c r="B13" s="306" t="s">
        <v>1533</v>
      </c>
      <c r="C13" s="306" t="s">
        <v>1498</v>
      </c>
      <c r="D13" s="306" t="s">
        <v>1539</v>
      </c>
      <c r="E13" s="306" t="s">
        <v>1540</v>
      </c>
      <c r="F13" s="306" t="s">
        <v>1527</v>
      </c>
      <c r="G13" s="308">
        <v>37222</v>
      </c>
      <c r="H13" s="309">
        <v>44831</v>
      </c>
      <c r="I13" s="309">
        <v>44831</v>
      </c>
      <c r="J13" s="310">
        <v>0</v>
      </c>
      <c r="O13" s="456"/>
    </row>
    <row r="14" spans="2:16" ht="12.75">
      <c r="B14" s="306" t="s">
        <v>1533</v>
      </c>
      <c r="C14" s="306" t="s">
        <v>1498</v>
      </c>
      <c r="D14" s="306" t="s">
        <v>1539</v>
      </c>
      <c r="E14" s="306" t="s">
        <v>1540</v>
      </c>
      <c r="F14" s="306" t="s">
        <v>1527</v>
      </c>
      <c r="G14" s="308">
        <v>37235</v>
      </c>
      <c r="H14" s="309">
        <v>21495</v>
      </c>
      <c r="I14" s="309">
        <v>18772.59</v>
      </c>
      <c r="J14" s="310">
        <v>2722.41</v>
      </c>
      <c r="K14" s="454">
        <f>'Apr 02'!E66</f>
        <v>279.05400000000003</v>
      </c>
      <c r="L14" s="455">
        <f>'May 02'!E66</f>
        <v>936.7956</v>
      </c>
      <c r="M14" s="455">
        <f>'Jun 02'!E82</f>
        <v>1525.1252</v>
      </c>
      <c r="N14" s="455">
        <f>'Jul 02'!E67</f>
        <v>388.9736</v>
      </c>
      <c r="O14" s="456">
        <f>'Aug 02'!E70</f>
        <v>440.966</v>
      </c>
      <c r="P14" s="450">
        <f>SUM(K14:O14)</f>
        <v>3570.9143999999997</v>
      </c>
    </row>
    <row r="15" spans="2:15" ht="12.75">
      <c r="B15" s="306" t="s">
        <v>1530</v>
      </c>
      <c r="C15" s="306" t="s">
        <v>1498</v>
      </c>
      <c r="D15" s="306" t="s">
        <v>1539</v>
      </c>
      <c r="E15" s="306" t="s">
        <v>1540</v>
      </c>
      <c r="F15" s="306" t="s">
        <v>1527</v>
      </c>
      <c r="G15" s="308">
        <v>37222</v>
      </c>
      <c r="H15" s="309">
        <v>10286</v>
      </c>
      <c r="I15" s="309">
        <v>10286</v>
      </c>
      <c r="J15" s="310">
        <v>0</v>
      </c>
      <c r="O15" s="456"/>
    </row>
    <row r="16" spans="1:15" ht="12.75">
      <c r="A16" s="305">
        <v>11</v>
      </c>
      <c r="B16" s="306" t="s">
        <v>1530</v>
      </c>
      <c r="C16" s="306" t="s">
        <v>1498</v>
      </c>
      <c r="D16" s="306" t="s">
        <v>1541</v>
      </c>
      <c r="E16" s="306" t="s">
        <v>1542</v>
      </c>
      <c r="F16" s="306" t="s">
        <v>1527</v>
      </c>
      <c r="G16" s="308">
        <v>37222</v>
      </c>
      <c r="H16" s="309">
        <v>2057</v>
      </c>
      <c r="I16" s="309">
        <v>0</v>
      </c>
      <c r="J16" s="310">
        <v>2057</v>
      </c>
      <c r="O16" s="456"/>
    </row>
    <row r="17" spans="1:15" ht="12.75">
      <c r="A17" s="305">
        <v>12</v>
      </c>
      <c r="B17" s="306" t="s">
        <v>1533</v>
      </c>
      <c r="C17" s="306" t="s">
        <v>1498</v>
      </c>
      <c r="D17" s="306" t="s">
        <v>1538</v>
      </c>
      <c r="E17" s="306" t="s">
        <v>1257</v>
      </c>
      <c r="F17" s="306" t="s">
        <v>1527</v>
      </c>
      <c r="G17" s="308">
        <v>37222</v>
      </c>
      <c r="H17" s="309">
        <v>4899</v>
      </c>
      <c r="I17" s="309">
        <v>4899</v>
      </c>
      <c r="J17" s="310">
        <v>0</v>
      </c>
      <c r="O17" s="456"/>
    </row>
    <row r="18" spans="1:15" ht="12.75">
      <c r="A18" s="305">
        <v>13</v>
      </c>
      <c r="B18" s="306" t="s">
        <v>1533</v>
      </c>
      <c r="C18" s="306" t="s">
        <v>1498</v>
      </c>
      <c r="D18" s="306" t="s">
        <v>1535</v>
      </c>
      <c r="E18" s="306" t="s">
        <v>1252</v>
      </c>
      <c r="F18" s="306" t="s">
        <v>1527</v>
      </c>
      <c r="G18" s="308">
        <v>37222</v>
      </c>
      <c r="H18" s="309">
        <v>45000</v>
      </c>
      <c r="I18" s="309">
        <v>1576.64</v>
      </c>
      <c r="J18" s="310">
        <v>43423.36</v>
      </c>
      <c r="O18" s="456"/>
    </row>
    <row r="19" spans="1:15" ht="12.75">
      <c r="A19" s="305">
        <v>14</v>
      </c>
      <c r="B19" s="306" t="s">
        <v>1533</v>
      </c>
      <c r="C19" s="306" t="s">
        <v>1498</v>
      </c>
      <c r="D19" s="306" t="s">
        <v>1537</v>
      </c>
      <c r="E19" s="306" t="s">
        <v>1255</v>
      </c>
      <c r="F19" s="306" t="s">
        <v>1527</v>
      </c>
      <c r="G19" s="308">
        <v>37133</v>
      </c>
      <c r="H19" s="309">
        <v>0</v>
      </c>
      <c r="I19" s="309">
        <v>0</v>
      </c>
      <c r="J19" s="310">
        <v>0</v>
      </c>
      <c r="O19" s="456"/>
    </row>
    <row r="20" spans="1:15" ht="12.75">
      <c r="A20" s="305">
        <v>15</v>
      </c>
      <c r="B20" s="306" t="s">
        <v>1533</v>
      </c>
      <c r="C20" s="306" t="s">
        <v>1498</v>
      </c>
      <c r="D20" s="306" t="s">
        <v>1543</v>
      </c>
      <c r="E20" s="306" t="s">
        <v>1241</v>
      </c>
      <c r="F20" s="306" t="s">
        <v>1527</v>
      </c>
      <c r="G20" s="308">
        <v>37222</v>
      </c>
      <c r="H20" s="309">
        <v>50000</v>
      </c>
      <c r="I20" s="309">
        <v>11816.54</v>
      </c>
      <c r="J20" s="310">
        <v>38183.46</v>
      </c>
      <c r="O20" s="456"/>
    </row>
    <row r="21" spans="1:15" ht="12.75">
      <c r="A21" s="305">
        <v>16</v>
      </c>
      <c r="B21" s="306" t="s">
        <v>1533</v>
      </c>
      <c r="C21" s="306" t="s">
        <v>1498</v>
      </c>
      <c r="D21" s="306" t="s">
        <v>1544</v>
      </c>
      <c r="E21" s="306" t="s">
        <v>1242</v>
      </c>
      <c r="F21" s="306" t="s">
        <v>1527</v>
      </c>
      <c r="G21" s="308">
        <v>37222</v>
      </c>
      <c r="H21" s="309">
        <v>58900</v>
      </c>
      <c r="I21" s="309">
        <v>56595.71</v>
      </c>
      <c r="J21" s="310">
        <v>2304.29</v>
      </c>
      <c r="O21" s="456"/>
    </row>
    <row r="22" spans="1:15" ht="12.75">
      <c r="A22" s="305">
        <v>17</v>
      </c>
      <c r="B22" s="306" t="s">
        <v>1533</v>
      </c>
      <c r="C22" s="306" t="s">
        <v>1498</v>
      </c>
      <c r="D22" s="306" t="s">
        <v>1545</v>
      </c>
      <c r="E22" s="306" t="s">
        <v>1243</v>
      </c>
      <c r="F22" s="306" t="s">
        <v>1527</v>
      </c>
      <c r="G22" s="308">
        <v>37222</v>
      </c>
      <c r="H22" s="309">
        <v>3941</v>
      </c>
      <c r="I22" s="309">
        <v>3026.84</v>
      </c>
      <c r="J22" s="310">
        <v>914.16</v>
      </c>
      <c r="O22" s="456"/>
    </row>
    <row r="23" spans="1:15" ht="12.75">
      <c r="A23" s="305">
        <v>18</v>
      </c>
      <c r="B23" s="306" t="s">
        <v>1533</v>
      </c>
      <c r="C23" s="306" t="s">
        <v>1498</v>
      </c>
      <c r="D23" s="306" t="s">
        <v>1546</v>
      </c>
      <c r="E23" s="306" t="s">
        <v>1244</v>
      </c>
      <c r="F23" s="306" t="s">
        <v>1527</v>
      </c>
      <c r="G23" s="308">
        <v>37235</v>
      </c>
      <c r="H23" s="309">
        <v>742</v>
      </c>
      <c r="I23" s="309">
        <v>0</v>
      </c>
      <c r="J23" s="310">
        <v>742</v>
      </c>
      <c r="O23" s="456"/>
    </row>
    <row r="24" spans="2:15" ht="12.75">
      <c r="B24" s="306" t="s">
        <v>1533</v>
      </c>
      <c r="C24" s="306" t="s">
        <v>1498</v>
      </c>
      <c r="D24" s="306" t="s">
        <v>1546</v>
      </c>
      <c r="E24" s="306" t="s">
        <v>1244</v>
      </c>
      <c r="F24" s="306" t="s">
        <v>1527</v>
      </c>
      <c r="G24" s="308">
        <v>37222</v>
      </c>
      <c r="H24" s="309">
        <v>49442</v>
      </c>
      <c r="I24" s="309">
        <v>32808.46</v>
      </c>
      <c r="J24" s="310">
        <v>16633.54</v>
      </c>
      <c r="O24" s="456"/>
    </row>
    <row r="25" spans="1:15" ht="12.75">
      <c r="A25" s="305">
        <v>19</v>
      </c>
      <c r="B25" s="306" t="s">
        <v>1533</v>
      </c>
      <c r="C25" s="306" t="s">
        <v>1498</v>
      </c>
      <c r="D25" s="306" t="s">
        <v>1547</v>
      </c>
      <c r="E25" s="306" t="s">
        <v>1246</v>
      </c>
      <c r="F25" s="306" t="s">
        <v>1527</v>
      </c>
      <c r="G25" s="308">
        <v>37235</v>
      </c>
      <c r="H25" s="309">
        <v>185</v>
      </c>
      <c r="I25" s="309">
        <v>0</v>
      </c>
      <c r="J25" s="310">
        <v>185</v>
      </c>
      <c r="O25" s="456"/>
    </row>
    <row r="26" spans="2:15" ht="12.75">
      <c r="B26" s="306" t="s">
        <v>1533</v>
      </c>
      <c r="C26" s="306" t="s">
        <v>1498</v>
      </c>
      <c r="D26" s="306" t="s">
        <v>1547</v>
      </c>
      <c r="E26" s="306" t="s">
        <v>1246</v>
      </c>
      <c r="F26" s="306" t="s">
        <v>1527</v>
      </c>
      <c r="G26" s="308">
        <v>37222</v>
      </c>
      <c r="H26" s="309">
        <v>12315</v>
      </c>
      <c r="I26" s="309">
        <v>10998.55</v>
      </c>
      <c r="J26" s="310">
        <v>1316.45</v>
      </c>
      <c r="O26" s="456"/>
    </row>
    <row r="27" spans="1:15" ht="12.75">
      <c r="A27" s="305">
        <v>20</v>
      </c>
      <c r="B27" s="306" t="s">
        <v>1533</v>
      </c>
      <c r="C27" s="306" t="s">
        <v>1498</v>
      </c>
      <c r="D27" s="306" t="s">
        <v>1548</v>
      </c>
      <c r="E27" s="306" t="s">
        <v>1247</v>
      </c>
      <c r="F27" s="306" t="s">
        <v>1527</v>
      </c>
      <c r="G27" s="308">
        <v>37222</v>
      </c>
      <c r="H27" s="309">
        <v>24805</v>
      </c>
      <c r="I27" s="309">
        <v>24805</v>
      </c>
      <c r="J27" s="310">
        <v>0</v>
      </c>
      <c r="O27" s="456"/>
    </row>
    <row r="28" spans="1:15" ht="12.75">
      <c r="A28" s="305">
        <v>21</v>
      </c>
      <c r="B28" s="306" t="s">
        <v>1549</v>
      </c>
      <c r="C28" s="306" t="s">
        <v>1498</v>
      </c>
      <c r="D28" s="306" t="s">
        <v>1550</v>
      </c>
      <c r="E28" s="306" t="s">
        <v>1269</v>
      </c>
      <c r="F28" s="306" t="s">
        <v>1527</v>
      </c>
      <c r="G28" s="308">
        <v>37235</v>
      </c>
      <c r="H28" s="309">
        <v>424</v>
      </c>
      <c r="I28" s="309">
        <v>0</v>
      </c>
      <c r="J28" s="310">
        <v>424</v>
      </c>
      <c r="O28" s="456"/>
    </row>
    <row r="29" spans="2:15" ht="12.75">
      <c r="B29" s="306" t="s">
        <v>1549</v>
      </c>
      <c r="C29" s="306" t="s">
        <v>1498</v>
      </c>
      <c r="D29" s="306" t="s">
        <v>1550</v>
      </c>
      <c r="E29" s="306" t="s">
        <v>1269</v>
      </c>
      <c r="F29" s="306" t="s">
        <v>1527</v>
      </c>
      <c r="G29" s="308">
        <v>37328</v>
      </c>
      <c r="H29" s="309">
        <v>4052</v>
      </c>
      <c r="I29" s="309">
        <v>0</v>
      </c>
      <c r="J29" s="310">
        <v>4052</v>
      </c>
      <c r="O29" s="456"/>
    </row>
    <row r="30" spans="2:15" ht="12.75">
      <c r="B30" s="306" t="s">
        <v>1549</v>
      </c>
      <c r="C30" s="306" t="s">
        <v>1498</v>
      </c>
      <c r="D30" s="306" t="s">
        <v>1550</v>
      </c>
      <c r="E30" s="306" t="s">
        <v>1269</v>
      </c>
      <c r="F30" s="306" t="s">
        <v>1527</v>
      </c>
      <c r="G30" s="308">
        <v>37222</v>
      </c>
      <c r="H30" s="309">
        <v>66033</v>
      </c>
      <c r="I30" s="309">
        <v>62073.98</v>
      </c>
      <c r="J30" s="310">
        <v>3959.02</v>
      </c>
      <c r="O30" s="456"/>
    </row>
    <row r="31" spans="1:15" ht="12.75">
      <c r="A31" s="305">
        <v>22</v>
      </c>
      <c r="B31" s="306" t="s">
        <v>1549</v>
      </c>
      <c r="C31" s="306" t="s">
        <v>1498</v>
      </c>
      <c r="D31" s="306" t="s">
        <v>1550</v>
      </c>
      <c r="E31" s="306" t="s">
        <v>1270</v>
      </c>
      <c r="F31" s="306" t="s">
        <v>1527</v>
      </c>
      <c r="G31" s="308">
        <v>37222</v>
      </c>
      <c r="H31" s="309">
        <v>16400</v>
      </c>
      <c r="I31" s="309">
        <v>2635.83</v>
      </c>
      <c r="J31" s="310">
        <v>13764.17</v>
      </c>
      <c r="O31" s="456"/>
    </row>
    <row r="32" spans="2:15" ht="12.75">
      <c r="B32" s="306" t="s">
        <v>1549</v>
      </c>
      <c r="C32" s="306" t="s">
        <v>1498</v>
      </c>
      <c r="D32" s="306" t="s">
        <v>1550</v>
      </c>
      <c r="E32" s="306" t="s">
        <v>1270</v>
      </c>
      <c r="F32" s="306" t="s">
        <v>1527</v>
      </c>
      <c r="G32" s="308">
        <v>37235</v>
      </c>
      <c r="H32" s="309">
        <v>14350</v>
      </c>
      <c r="I32" s="309">
        <v>10763.92</v>
      </c>
      <c r="J32" s="310">
        <v>3586.08</v>
      </c>
      <c r="O32" s="456"/>
    </row>
    <row r="33" spans="1:15" ht="12.75">
      <c r="A33" s="305">
        <v>23</v>
      </c>
      <c r="B33" s="306" t="s">
        <v>1549</v>
      </c>
      <c r="C33" s="306" t="s">
        <v>1498</v>
      </c>
      <c r="D33" s="306" t="s">
        <v>1551</v>
      </c>
      <c r="E33" s="306" t="s">
        <v>1271</v>
      </c>
      <c r="F33" s="306" t="s">
        <v>1527</v>
      </c>
      <c r="G33" s="308">
        <v>37222</v>
      </c>
      <c r="H33" s="309">
        <v>9225</v>
      </c>
      <c r="I33" s="309">
        <v>7481.35</v>
      </c>
      <c r="J33" s="310">
        <v>1743.65</v>
      </c>
      <c r="O33" s="456"/>
    </row>
    <row r="34" spans="1:15" ht="12.75">
      <c r="A34" s="305">
        <v>24</v>
      </c>
      <c r="B34" s="306" t="s">
        <v>1549</v>
      </c>
      <c r="C34" s="306" t="s">
        <v>1498</v>
      </c>
      <c r="D34" s="306" t="s">
        <v>1552</v>
      </c>
      <c r="E34" s="306" t="s">
        <v>1272</v>
      </c>
      <c r="F34" s="306" t="s">
        <v>1527</v>
      </c>
      <c r="G34" s="308">
        <v>37222</v>
      </c>
      <c r="H34" s="309">
        <v>24600</v>
      </c>
      <c r="I34" s="309">
        <v>24600</v>
      </c>
      <c r="J34" s="310">
        <v>0</v>
      </c>
      <c r="O34" s="456"/>
    </row>
    <row r="35" spans="1:16" ht="12.75">
      <c r="A35" s="305">
        <v>25</v>
      </c>
      <c r="B35" s="306" t="s">
        <v>1549</v>
      </c>
      <c r="C35" s="306" t="s">
        <v>1498</v>
      </c>
      <c r="D35" s="306" t="s">
        <v>1548</v>
      </c>
      <c r="E35" s="306" t="s">
        <v>1248</v>
      </c>
      <c r="F35" s="306" t="s">
        <v>1527</v>
      </c>
      <c r="G35" s="308">
        <v>37328</v>
      </c>
      <c r="H35" s="309">
        <v>107613</v>
      </c>
      <c r="I35" s="309">
        <v>0</v>
      </c>
      <c r="J35" s="310">
        <v>107613</v>
      </c>
      <c r="K35" s="454">
        <f>'Apr 02'!E87</f>
        <v>8675.5824</v>
      </c>
      <c r="L35" s="455">
        <f>'May 02'!E87</f>
        <v>8675.5824</v>
      </c>
      <c r="M35" s="455">
        <f>'Jun 02'!E103</f>
        <v>12497.0164</v>
      </c>
      <c r="N35" s="455">
        <f>'Jul 02'!E88</f>
        <v>10959.5628</v>
      </c>
      <c r="O35" s="456">
        <f>'Aug 02'!E91</f>
        <v>11317.708</v>
      </c>
      <c r="P35" s="450">
        <f>SUM(K35:O35)</f>
        <v>52125.452</v>
      </c>
    </row>
    <row r="36" spans="2:15" ht="12.75">
      <c r="B36" s="306" t="s">
        <v>1549</v>
      </c>
      <c r="C36" s="306" t="s">
        <v>1498</v>
      </c>
      <c r="D36" s="306" t="s">
        <v>1548</v>
      </c>
      <c r="E36" s="306" t="s">
        <v>1248</v>
      </c>
      <c r="F36" s="306" t="s">
        <v>1527</v>
      </c>
      <c r="G36" s="308">
        <v>37222</v>
      </c>
      <c r="H36" s="309">
        <v>61935</v>
      </c>
      <c r="I36" s="309">
        <v>61935</v>
      </c>
      <c r="J36" s="310">
        <v>0</v>
      </c>
      <c r="O36" s="456"/>
    </row>
    <row r="37" spans="2:15" ht="12.75">
      <c r="B37" s="306" t="s">
        <v>1549</v>
      </c>
      <c r="C37" s="306" t="s">
        <v>1498</v>
      </c>
      <c r="D37" s="306" t="s">
        <v>1548</v>
      </c>
      <c r="E37" s="306" t="s">
        <v>1248</v>
      </c>
      <c r="F37" s="306" t="s">
        <v>1527</v>
      </c>
      <c r="G37" s="308">
        <v>37235</v>
      </c>
      <c r="H37" s="309">
        <v>97008</v>
      </c>
      <c r="I37" s="309">
        <v>38060.91</v>
      </c>
      <c r="J37" s="310">
        <v>58947.09</v>
      </c>
      <c r="O37" s="456"/>
    </row>
    <row r="38" spans="1:15" ht="12.75">
      <c r="A38" s="305">
        <v>26</v>
      </c>
      <c r="B38" s="306" t="s">
        <v>1549</v>
      </c>
      <c r="C38" s="306" t="s">
        <v>1498</v>
      </c>
      <c r="D38" s="306" t="s">
        <v>1553</v>
      </c>
      <c r="E38" s="306" t="s">
        <v>1285</v>
      </c>
      <c r="F38" s="306" t="s">
        <v>1527</v>
      </c>
      <c r="G38" s="308">
        <v>37222</v>
      </c>
      <c r="H38" s="309">
        <v>5182</v>
      </c>
      <c r="I38" s="309">
        <v>0</v>
      </c>
      <c r="J38" s="310">
        <v>5182</v>
      </c>
      <c r="O38" s="456"/>
    </row>
    <row r="39" spans="1:15" ht="12.75">
      <c r="A39" s="305">
        <v>27</v>
      </c>
      <c r="B39" s="306" t="s">
        <v>1549</v>
      </c>
      <c r="C39" s="306" t="s">
        <v>1498</v>
      </c>
      <c r="D39" s="306" t="s">
        <v>1554</v>
      </c>
      <c r="E39" s="306" t="s">
        <v>1286</v>
      </c>
      <c r="F39" s="306" t="s">
        <v>1527</v>
      </c>
      <c r="G39" s="308">
        <v>37222</v>
      </c>
      <c r="H39" s="309">
        <v>40584</v>
      </c>
      <c r="I39" s="309">
        <v>7695.39</v>
      </c>
      <c r="J39" s="310">
        <v>32888.61</v>
      </c>
      <c r="O39" s="456"/>
    </row>
    <row r="40" spans="1:15" ht="12.75">
      <c r="A40" s="305">
        <v>28</v>
      </c>
      <c r="B40" s="306" t="s">
        <v>1549</v>
      </c>
      <c r="C40" s="306" t="s">
        <v>1498</v>
      </c>
      <c r="D40" s="306" t="s">
        <v>1554</v>
      </c>
      <c r="E40" s="306" t="s">
        <v>1287</v>
      </c>
      <c r="F40" s="306" t="s">
        <v>1527</v>
      </c>
      <c r="G40" s="308">
        <v>37222</v>
      </c>
      <c r="H40" s="309">
        <v>15000</v>
      </c>
      <c r="I40" s="309">
        <v>12877.76</v>
      </c>
      <c r="J40" s="310">
        <v>2122.24</v>
      </c>
      <c r="O40" s="456"/>
    </row>
    <row r="41" spans="1:15" ht="12.75">
      <c r="A41" s="305">
        <v>29</v>
      </c>
      <c r="B41" s="306" t="s">
        <v>1549</v>
      </c>
      <c r="C41" s="306" t="s">
        <v>1498</v>
      </c>
      <c r="D41" s="306" t="s">
        <v>1555</v>
      </c>
      <c r="E41" s="306" t="s">
        <v>1273</v>
      </c>
      <c r="F41" s="306" t="s">
        <v>1527</v>
      </c>
      <c r="G41" s="308">
        <v>37328</v>
      </c>
      <c r="H41" s="309">
        <v>52594</v>
      </c>
      <c r="I41" s="309">
        <v>28068.72</v>
      </c>
      <c r="J41" s="310">
        <v>24525.28</v>
      </c>
      <c r="O41" s="456"/>
    </row>
    <row r="42" spans="1:16" ht="12.75">
      <c r="A42" s="305">
        <v>30</v>
      </c>
      <c r="B42" s="306" t="s">
        <v>1549</v>
      </c>
      <c r="C42" s="306" t="s">
        <v>1498</v>
      </c>
      <c r="D42" s="306" t="s">
        <v>1555</v>
      </c>
      <c r="E42" s="306" t="s">
        <v>1274</v>
      </c>
      <c r="F42" s="306" t="s">
        <v>1527</v>
      </c>
      <c r="G42" s="308">
        <v>37328</v>
      </c>
      <c r="H42" s="309">
        <v>21033</v>
      </c>
      <c r="I42" s="309">
        <v>0</v>
      </c>
      <c r="J42" s="310">
        <v>21033</v>
      </c>
      <c r="K42" s="454">
        <f>'Apr 02'!E76</f>
        <v>402.95</v>
      </c>
      <c r="O42" s="456"/>
      <c r="P42" s="450">
        <f>SUM(K42:O42)</f>
        <v>402.95</v>
      </c>
    </row>
    <row r="43" spans="1:16" ht="12.75">
      <c r="A43" s="311">
        <v>31</v>
      </c>
      <c r="B43" s="306" t="s">
        <v>1549</v>
      </c>
      <c r="C43" s="306" t="s">
        <v>1498</v>
      </c>
      <c r="D43" s="306" t="s">
        <v>1556</v>
      </c>
      <c r="E43" s="306" t="s">
        <v>1275</v>
      </c>
      <c r="F43" s="306" t="s">
        <v>1527</v>
      </c>
      <c r="G43" s="308">
        <v>37328</v>
      </c>
      <c r="H43" s="309">
        <v>303254</v>
      </c>
      <c r="I43" s="309">
        <v>0</v>
      </c>
      <c r="J43" s="310">
        <v>303254</v>
      </c>
      <c r="L43" s="455">
        <f>'May 02'!E77</f>
        <v>23.490000000000002</v>
      </c>
      <c r="M43" s="455">
        <f>'Jun 02'!E93</f>
        <v>14112.59</v>
      </c>
      <c r="N43" s="455">
        <f>'Jul 02'!E78</f>
        <v>83.27</v>
      </c>
      <c r="O43" s="456">
        <f>'Aug 02'!E81</f>
        <v>14775.04</v>
      </c>
      <c r="P43" s="450">
        <f>SUM(K43:O43)</f>
        <v>28994.39</v>
      </c>
    </row>
    <row r="44" spans="1:15" ht="12.75">
      <c r="A44" s="311">
        <v>32</v>
      </c>
      <c r="B44" s="306" t="s">
        <v>1549</v>
      </c>
      <c r="C44" s="306" t="s">
        <v>1498</v>
      </c>
      <c r="D44" s="306" t="s">
        <v>1556</v>
      </c>
      <c r="E44" s="306" t="s">
        <v>1276</v>
      </c>
      <c r="F44" s="306" t="s">
        <v>1527</v>
      </c>
      <c r="G44" s="308">
        <v>37328</v>
      </c>
      <c r="H44" s="309">
        <v>6310</v>
      </c>
      <c r="I44" s="309">
        <v>0</v>
      </c>
      <c r="J44" s="310">
        <v>6310</v>
      </c>
      <c r="O44" s="456"/>
    </row>
    <row r="45" spans="1:16" ht="12.75">
      <c r="A45" s="311">
        <v>33</v>
      </c>
      <c r="B45" s="306" t="s">
        <v>1549</v>
      </c>
      <c r="C45" s="306" t="s">
        <v>1498</v>
      </c>
      <c r="D45" s="306" t="s">
        <v>1557</v>
      </c>
      <c r="E45" s="306" t="s">
        <v>1277</v>
      </c>
      <c r="F45" s="306" t="s">
        <v>1527</v>
      </c>
      <c r="G45" s="308">
        <v>37328</v>
      </c>
      <c r="H45" s="309">
        <v>20742</v>
      </c>
      <c r="I45" s="309">
        <v>0</v>
      </c>
      <c r="J45" s="310">
        <v>20742</v>
      </c>
      <c r="K45" s="454">
        <f>'Apr 02'!E78</f>
        <v>12398.337200000002</v>
      </c>
      <c r="L45" s="455">
        <f>'May 02'!E78</f>
        <v>14573.1472</v>
      </c>
      <c r="M45" s="455">
        <f>'Jun 02'!E94</f>
        <v>18335.2508</v>
      </c>
      <c r="N45" s="455">
        <f>'Jul 02'!E79</f>
        <v>15830.2236</v>
      </c>
      <c r="O45" s="456">
        <f>'Aug 02'!E82</f>
        <v>17728.0164</v>
      </c>
      <c r="P45" s="450">
        <f>SUM(K45:O45)</f>
        <v>78864.9752</v>
      </c>
    </row>
    <row r="46" spans="1:15" ht="12.75">
      <c r="A46" s="305">
        <v>34</v>
      </c>
      <c r="B46" s="306" t="s">
        <v>1549</v>
      </c>
      <c r="C46" s="306" t="s">
        <v>1498</v>
      </c>
      <c r="D46" s="306" t="s">
        <v>1558</v>
      </c>
      <c r="E46" s="306" t="s">
        <v>1278</v>
      </c>
      <c r="F46" s="306" t="s">
        <v>1527</v>
      </c>
      <c r="G46" s="308">
        <v>37328</v>
      </c>
      <c r="H46" s="309">
        <v>42680</v>
      </c>
      <c r="I46" s="309">
        <v>0</v>
      </c>
      <c r="J46" s="310">
        <v>42680</v>
      </c>
      <c r="O46" s="456"/>
    </row>
    <row r="47" spans="1:15" ht="12.75">
      <c r="A47" s="311">
        <v>35</v>
      </c>
      <c r="B47" s="306" t="s">
        <v>1549</v>
      </c>
      <c r="C47" s="306" t="s">
        <v>1498</v>
      </c>
      <c r="D47" s="306" t="s">
        <v>1559</v>
      </c>
      <c r="E47" s="306" t="s">
        <v>1279</v>
      </c>
      <c r="F47" s="306" t="s">
        <v>1527</v>
      </c>
      <c r="G47" s="308">
        <v>37328</v>
      </c>
      <c r="H47" s="309">
        <v>252712</v>
      </c>
      <c r="I47" s="309">
        <v>0</v>
      </c>
      <c r="J47" s="310">
        <v>252712</v>
      </c>
      <c r="O47" s="456"/>
    </row>
    <row r="48" spans="1:15" ht="12.75">
      <c r="A48" s="311">
        <v>36</v>
      </c>
      <c r="B48" s="306" t="s">
        <v>1549</v>
      </c>
      <c r="C48" s="306" t="s">
        <v>1498</v>
      </c>
      <c r="D48" s="306" t="s">
        <v>1560</v>
      </c>
      <c r="E48" s="306" t="s">
        <v>1280</v>
      </c>
      <c r="F48" s="306" t="s">
        <v>1527</v>
      </c>
      <c r="G48" s="308">
        <v>37328</v>
      </c>
      <c r="H48" s="309">
        <v>303254</v>
      </c>
      <c r="I48" s="309">
        <v>0</v>
      </c>
      <c r="J48" s="310">
        <v>303254</v>
      </c>
      <c r="O48" s="456"/>
    </row>
    <row r="49" spans="1:15" ht="12.75">
      <c r="A49" s="311">
        <v>37</v>
      </c>
      <c r="B49" s="306" t="s">
        <v>1549</v>
      </c>
      <c r="C49" s="306" t="s">
        <v>1498</v>
      </c>
      <c r="D49" s="306" t="s">
        <v>1561</v>
      </c>
      <c r="E49" s="306" t="s">
        <v>1281</v>
      </c>
      <c r="F49" s="306" t="s">
        <v>1527</v>
      </c>
      <c r="G49" s="308">
        <v>37328</v>
      </c>
      <c r="H49" s="309">
        <v>6310</v>
      </c>
      <c r="I49" s="309">
        <v>0</v>
      </c>
      <c r="J49" s="310">
        <v>6310</v>
      </c>
      <c r="O49" s="456"/>
    </row>
    <row r="50" spans="1:15" ht="12.75">
      <c r="A50" s="311">
        <v>38</v>
      </c>
      <c r="B50" s="306" t="s">
        <v>1549</v>
      </c>
      <c r="C50" s="306" t="s">
        <v>1498</v>
      </c>
      <c r="D50" s="306" t="s">
        <v>1562</v>
      </c>
      <c r="E50" s="306" t="s">
        <v>1282</v>
      </c>
      <c r="F50" s="306" t="s">
        <v>1527</v>
      </c>
      <c r="G50" s="308">
        <v>37328</v>
      </c>
      <c r="H50" s="309">
        <v>237549</v>
      </c>
      <c r="I50" s="309">
        <v>137838.77</v>
      </c>
      <c r="J50" s="310">
        <v>99710.23</v>
      </c>
      <c r="O50" s="456"/>
    </row>
    <row r="51" spans="1:16" s="313" customFormat="1" ht="12.75">
      <c r="A51" s="312">
        <v>39</v>
      </c>
      <c r="B51" s="313" t="s">
        <v>1549</v>
      </c>
      <c r="C51" s="313" t="s">
        <v>1498</v>
      </c>
      <c r="D51" s="313" t="s">
        <v>1563</v>
      </c>
      <c r="E51" s="313" t="s">
        <v>1283</v>
      </c>
      <c r="F51" s="313" t="s">
        <v>1527</v>
      </c>
      <c r="G51" s="314">
        <v>37328</v>
      </c>
      <c r="H51" s="315">
        <v>3155</v>
      </c>
      <c r="I51" s="315">
        <v>0</v>
      </c>
      <c r="J51" s="316">
        <v>3155</v>
      </c>
      <c r="K51" s="457"/>
      <c r="L51" s="458"/>
      <c r="M51" s="458"/>
      <c r="N51" s="458"/>
      <c r="O51" s="459"/>
      <c r="P51" s="450"/>
    </row>
    <row r="52" spans="1:15" ht="12.75">
      <c r="A52" s="305" t="s">
        <v>1564</v>
      </c>
      <c r="H52" s="309">
        <v>2167614.8</v>
      </c>
      <c r="I52" s="309">
        <v>655586.02</v>
      </c>
      <c r="J52" s="310">
        <v>1512028.78</v>
      </c>
      <c r="O52" s="456"/>
    </row>
    <row r="53" spans="5:16" ht="12.75">
      <c r="E53" s="307" t="s">
        <v>119</v>
      </c>
      <c r="J53" s="309">
        <v>36808</v>
      </c>
      <c r="K53" s="460"/>
      <c r="L53" s="461"/>
      <c r="M53" s="461">
        <f>'Jun 02'!E83</f>
        <v>43.3344</v>
      </c>
      <c r="N53" s="461"/>
      <c r="O53" s="462">
        <f>'Aug 02'!E71</f>
        <v>1409.2559999999999</v>
      </c>
      <c r="P53" s="450">
        <f>SUM(K53:O53)</f>
        <v>1452.5903999999998</v>
      </c>
    </row>
    <row r="54" spans="5:16" ht="12.75">
      <c r="E54" s="307" t="s">
        <v>1429</v>
      </c>
      <c r="J54" s="309">
        <v>42066</v>
      </c>
      <c r="K54" s="460">
        <f>'Apr 02'!E68</f>
        <v>1890</v>
      </c>
      <c r="L54" s="461"/>
      <c r="M54" s="461">
        <f>'Jun 02'!E84</f>
        <v>18029.31215599995</v>
      </c>
      <c r="N54" s="461"/>
      <c r="O54" s="462">
        <f>'Aug 02'!E72</f>
        <v>2438.1</v>
      </c>
      <c r="P54" s="450">
        <f>SUM(K54:O54)</f>
        <v>22357.412155999948</v>
      </c>
    </row>
    <row r="55" spans="5:16" ht="12.75">
      <c r="E55" s="307" t="s">
        <v>1062</v>
      </c>
      <c r="J55" s="309"/>
      <c r="K55" s="460">
        <f>'Apr 02'!E89</f>
        <v>2912.1516</v>
      </c>
      <c r="L55" s="461">
        <f>'May 02'!E89</f>
        <v>2956.4775999999997</v>
      </c>
      <c r="M55" s="461"/>
      <c r="N55" s="461">
        <f>'Jul 02'!E90</f>
        <v>6335.776400000001</v>
      </c>
      <c r="P55" s="450">
        <f>SUM(K55:O55)</f>
        <v>12204.4056</v>
      </c>
    </row>
    <row r="56" spans="10:16" ht="12.75">
      <c r="J56" s="309"/>
      <c r="K56" s="460">
        <f>SUM(K2:K55)</f>
        <v>27698.475200000004</v>
      </c>
      <c r="L56" s="460">
        <f>SUM(L2:L55)</f>
        <v>27165.492799999996</v>
      </c>
      <c r="M56" s="460">
        <f>SUM(M2:M55)</f>
        <v>67309.5392</v>
      </c>
      <c r="N56" s="460">
        <f>SUM(N2:N55)</f>
        <v>33597.8064</v>
      </c>
      <c r="O56" s="460">
        <f>SUM(O2:O55)</f>
        <v>48109.0864</v>
      </c>
      <c r="P56" s="450">
        <f>SUM(K56:O56)</f>
        <v>203880.4</v>
      </c>
    </row>
    <row r="57" spans="10:14" ht="12.75">
      <c r="J57" s="309"/>
      <c r="K57" s="460"/>
      <c r="L57" s="461"/>
      <c r="M57" s="461"/>
      <c r="N57" s="461"/>
    </row>
    <row r="58" spans="10:15" ht="12.75">
      <c r="J58" s="309"/>
      <c r="K58" s="463" t="s">
        <v>1565</v>
      </c>
      <c r="L58" s="464" t="s">
        <v>1565</v>
      </c>
      <c r="M58" s="464" t="s">
        <v>1565</v>
      </c>
      <c r="N58" s="464" t="s">
        <v>1565</v>
      </c>
      <c r="O58" s="465" t="s">
        <v>1565</v>
      </c>
    </row>
    <row r="59" spans="10:15" ht="12.75">
      <c r="J59" s="309"/>
      <c r="K59" s="463">
        <v>27698.47</v>
      </c>
      <c r="L59" s="464">
        <v>27165.5</v>
      </c>
      <c r="M59" s="464">
        <v>67309.54</v>
      </c>
      <c r="N59" s="464">
        <v>33597.81</v>
      </c>
      <c r="O59" s="465">
        <v>48109.1</v>
      </c>
    </row>
    <row r="60" spans="10:14" ht="12.75">
      <c r="J60" s="309"/>
      <c r="K60" s="460"/>
      <c r="L60" s="461"/>
      <c r="M60" s="461"/>
      <c r="N60" s="461"/>
    </row>
    <row r="61" spans="10:14" ht="12.75">
      <c r="J61" s="306"/>
      <c r="K61" s="460"/>
      <c r="L61" s="461"/>
      <c r="M61" s="461"/>
      <c r="N61" s="461"/>
    </row>
    <row r="62" spans="10:14" ht="12.75">
      <c r="J62" s="306"/>
      <c r="K62" s="462"/>
      <c r="L62" s="461"/>
      <c r="M62" s="461"/>
      <c r="N62" s="461"/>
    </row>
    <row r="63" spans="10:14" ht="12.75">
      <c r="J63" s="309"/>
      <c r="K63" s="460"/>
      <c r="L63" s="461"/>
      <c r="M63" s="461"/>
      <c r="N63" s="461"/>
    </row>
    <row r="64" spans="10:14" ht="12.75">
      <c r="J64" s="309"/>
      <c r="K64" s="460"/>
      <c r="L64" s="461"/>
      <c r="M64" s="461"/>
      <c r="N64" s="461"/>
    </row>
    <row r="65" spans="10:14" ht="12.75">
      <c r="J65" s="309"/>
      <c r="K65" s="460"/>
      <c r="L65" s="461"/>
      <c r="M65" s="461"/>
      <c r="N65" s="461"/>
    </row>
    <row r="66" spans="10:14" ht="12.75">
      <c r="J66" s="309"/>
      <c r="K66" s="460"/>
      <c r="L66" s="461"/>
      <c r="M66" s="461"/>
      <c r="N66" s="461"/>
    </row>
    <row r="67" spans="10:14" ht="12.75">
      <c r="J67" s="309"/>
      <c r="K67" s="460"/>
      <c r="L67" s="461"/>
      <c r="M67" s="461"/>
      <c r="N67" s="461"/>
    </row>
    <row r="68" spans="10:14" ht="12.75">
      <c r="J68" s="309"/>
      <c r="K68" s="460"/>
      <c r="L68" s="461"/>
      <c r="M68" s="461"/>
      <c r="N68" s="461"/>
    </row>
    <row r="69" spans="10:14" ht="12.75">
      <c r="J69" s="309"/>
      <c r="K69" s="460"/>
      <c r="L69" s="461"/>
      <c r="M69" s="461"/>
      <c r="N69" s="461"/>
    </row>
    <row r="70" spans="10:14" ht="12.75">
      <c r="J70" s="309"/>
      <c r="K70" s="460"/>
      <c r="L70" s="461"/>
      <c r="M70" s="461"/>
      <c r="N70" s="461"/>
    </row>
    <row r="71" spans="10:14" ht="12.75">
      <c r="J71" s="309"/>
      <c r="K71" s="460"/>
      <c r="L71" s="461"/>
      <c r="M71" s="461"/>
      <c r="N71" s="461"/>
    </row>
    <row r="72" spans="10:14" ht="12.75">
      <c r="J72" s="309"/>
      <c r="K72" s="460"/>
      <c r="L72" s="461"/>
      <c r="M72" s="461"/>
      <c r="N72" s="461"/>
    </row>
    <row r="73" spans="10:14" ht="12.75">
      <c r="J73" s="309"/>
      <c r="K73" s="460"/>
      <c r="L73" s="461"/>
      <c r="M73" s="461"/>
      <c r="N73" s="461"/>
    </row>
    <row r="74" spans="10:14" ht="12.75">
      <c r="J74" s="309"/>
      <c r="K74" s="460"/>
      <c r="L74" s="461"/>
      <c r="M74" s="461"/>
      <c r="N74" s="461"/>
    </row>
    <row r="75" spans="10:14" ht="12.75">
      <c r="J75" s="309"/>
      <c r="K75" s="460"/>
      <c r="L75" s="461"/>
      <c r="M75" s="461"/>
      <c r="N75" s="461"/>
    </row>
    <row r="76" spans="10:14" ht="12.75">
      <c r="J76" s="309"/>
      <c r="K76" s="460"/>
      <c r="L76" s="461"/>
      <c r="M76" s="461"/>
      <c r="N76" s="461"/>
    </row>
    <row r="77" spans="10:14" ht="12.75">
      <c r="J77" s="309"/>
      <c r="K77" s="460"/>
      <c r="L77" s="461"/>
      <c r="M77" s="461"/>
      <c r="N77" s="461"/>
    </row>
    <row r="78" spans="10:14" ht="12.75">
      <c r="J78" s="309"/>
      <c r="K78" s="460"/>
      <c r="L78" s="461"/>
      <c r="M78" s="461"/>
      <c r="N78" s="461"/>
    </row>
    <row r="79" spans="10:14" ht="12.75">
      <c r="J79" s="309"/>
      <c r="K79" s="460"/>
      <c r="L79" s="461"/>
      <c r="M79" s="461"/>
      <c r="N79" s="461"/>
    </row>
    <row r="80" spans="10:14" ht="12.75">
      <c r="J80" s="309"/>
      <c r="K80" s="460"/>
      <c r="L80" s="461"/>
      <c r="M80" s="461"/>
      <c r="N80" s="461"/>
    </row>
    <row r="81" spans="10:14" ht="12.75">
      <c r="J81" s="309"/>
      <c r="K81" s="460"/>
      <c r="L81" s="461"/>
      <c r="M81" s="461"/>
      <c r="N81" s="461"/>
    </row>
    <row r="82" spans="10:14" ht="12.75">
      <c r="J82" s="309"/>
      <c r="K82" s="460"/>
      <c r="L82" s="461"/>
      <c r="M82" s="461"/>
      <c r="N82" s="461"/>
    </row>
    <row r="83" spans="10:14" ht="12.75">
      <c r="J83" s="309"/>
      <c r="K83" s="460"/>
      <c r="L83" s="461"/>
      <c r="M83" s="461"/>
      <c r="N83" s="461"/>
    </row>
    <row r="84" spans="10:14" ht="12.75">
      <c r="J84" s="309"/>
      <c r="K84" s="460"/>
      <c r="L84" s="461"/>
      <c r="M84" s="461"/>
      <c r="N84" s="461"/>
    </row>
    <row r="85" spans="10:14" ht="12.75">
      <c r="J85" s="309"/>
      <c r="K85" s="460"/>
      <c r="L85" s="461"/>
      <c r="M85" s="461"/>
      <c r="N85" s="461"/>
    </row>
    <row r="86" spans="10:14" ht="12.75">
      <c r="J86" s="309"/>
      <c r="K86" s="460"/>
      <c r="L86" s="461"/>
      <c r="M86" s="461"/>
      <c r="N86" s="461"/>
    </row>
    <row r="87" spans="10:14" ht="12.75">
      <c r="J87" s="309"/>
      <c r="K87" s="460"/>
      <c r="L87" s="461"/>
      <c r="M87" s="461"/>
      <c r="N87" s="461"/>
    </row>
    <row r="88" spans="10:14" ht="12.75">
      <c r="J88" s="309"/>
      <c r="K88" s="460"/>
      <c r="L88" s="461"/>
      <c r="M88" s="461"/>
      <c r="N88" s="461"/>
    </row>
    <row r="89" spans="10:14" ht="12.75">
      <c r="J89" s="309"/>
      <c r="K89" s="460"/>
      <c r="L89" s="461"/>
      <c r="M89" s="461"/>
      <c r="N89" s="461"/>
    </row>
    <row r="90" spans="10:14" ht="12.75">
      <c r="J90" s="309"/>
      <c r="K90" s="460"/>
      <c r="L90" s="461"/>
      <c r="M90" s="461"/>
      <c r="N90" s="461"/>
    </row>
    <row r="91" spans="10:14" ht="12.75">
      <c r="J91" s="309"/>
      <c r="K91" s="460"/>
      <c r="L91" s="461"/>
      <c r="M91" s="461"/>
      <c r="N91" s="461"/>
    </row>
    <row r="92" spans="10:14" ht="12.75">
      <c r="J92" s="309"/>
      <c r="K92" s="460"/>
      <c r="L92" s="461"/>
      <c r="M92" s="461"/>
      <c r="N92" s="461"/>
    </row>
    <row r="93" spans="10:14" ht="12.75">
      <c r="J93" s="309"/>
      <c r="K93" s="460"/>
      <c r="L93" s="461"/>
      <c r="M93" s="461"/>
      <c r="N93" s="461"/>
    </row>
    <row r="94" spans="10:14" ht="12.75">
      <c r="J94" s="309"/>
      <c r="K94" s="460"/>
      <c r="L94" s="461"/>
      <c r="M94" s="461"/>
      <c r="N94" s="461"/>
    </row>
    <row r="95" spans="10:14" ht="12.75">
      <c r="J95" s="309"/>
      <c r="K95" s="460"/>
      <c r="L95" s="461"/>
      <c r="M95" s="461"/>
      <c r="N95" s="461"/>
    </row>
    <row r="96" spans="10:14" ht="12.75">
      <c r="J96" s="309"/>
      <c r="K96" s="460"/>
      <c r="L96" s="461"/>
      <c r="M96" s="461"/>
      <c r="N96" s="461"/>
    </row>
    <row r="97" spans="10:14" ht="12.75">
      <c r="J97" s="309"/>
      <c r="K97" s="460"/>
      <c r="L97" s="461"/>
      <c r="M97" s="461"/>
      <c r="N97" s="461"/>
    </row>
    <row r="98" spans="10:14" ht="12.75">
      <c r="J98" s="309"/>
      <c r="K98" s="460"/>
      <c r="L98" s="461"/>
      <c r="M98" s="461"/>
      <c r="N98" s="461"/>
    </row>
    <row r="99" spans="10:14" ht="12.75">
      <c r="J99" s="309"/>
      <c r="K99" s="460"/>
      <c r="L99" s="461"/>
      <c r="M99" s="461"/>
      <c r="N99" s="461"/>
    </row>
    <row r="100" spans="10:14" ht="12.75">
      <c r="J100" s="309"/>
      <c r="K100" s="460"/>
      <c r="L100" s="461"/>
      <c r="M100" s="461"/>
      <c r="N100" s="461"/>
    </row>
    <row r="101" spans="10:14" ht="12.75">
      <c r="J101" s="309"/>
      <c r="K101" s="460"/>
      <c r="L101" s="461"/>
      <c r="M101" s="461"/>
      <c r="N101" s="461"/>
    </row>
    <row r="102" spans="10:14" ht="12.75">
      <c r="J102" s="309"/>
      <c r="K102" s="460"/>
      <c r="L102" s="461"/>
      <c r="M102" s="461"/>
      <c r="N102" s="461"/>
    </row>
    <row r="103" spans="10:14" ht="12.75">
      <c r="J103" s="309"/>
      <c r="K103" s="460"/>
      <c r="L103" s="461"/>
      <c r="M103" s="461"/>
      <c r="N103" s="461"/>
    </row>
    <row r="104" spans="10:14" ht="12.75">
      <c r="J104" s="309"/>
      <c r="K104" s="460"/>
      <c r="L104" s="461"/>
      <c r="M104" s="461"/>
      <c r="N104" s="461"/>
    </row>
    <row r="105" spans="10:14" ht="12.75">
      <c r="J105" s="309"/>
      <c r="K105" s="460"/>
      <c r="L105" s="461"/>
      <c r="M105" s="461"/>
      <c r="N105" s="461"/>
    </row>
    <row r="106" spans="10:14" ht="12.75">
      <c r="J106" s="309"/>
      <c r="K106" s="460"/>
      <c r="L106" s="461"/>
      <c r="M106" s="461"/>
      <c r="N106" s="461"/>
    </row>
    <row r="107" spans="10:14" ht="12.75">
      <c r="J107" s="309"/>
      <c r="K107" s="460"/>
      <c r="L107" s="461"/>
      <c r="M107" s="461"/>
      <c r="N107" s="461"/>
    </row>
    <row r="108" spans="10:14" ht="12.75">
      <c r="J108" s="309"/>
      <c r="K108" s="460"/>
      <c r="L108" s="461"/>
      <c r="M108" s="461"/>
      <c r="N108" s="461"/>
    </row>
    <row r="109" spans="10:14" ht="12.75">
      <c r="J109" s="309"/>
      <c r="K109" s="460"/>
      <c r="L109" s="461"/>
      <c r="M109" s="461"/>
      <c r="N109" s="461"/>
    </row>
    <row r="110" spans="10:14" ht="12.75">
      <c r="J110" s="309"/>
      <c r="K110" s="460"/>
      <c r="L110" s="461"/>
      <c r="M110" s="461"/>
      <c r="N110" s="461"/>
    </row>
    <row r="111" spans="10:14" ht="12.75">
      <c r="J111" s="309"/>
      <c r="K111" s="460"/>
      <c r="L111" s="461"/>
      <c r="M111" s="461"/>
      <c r="N111" s="46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outlinePr summaryBelow="0"/>
  </sheetPr>
  <dimension ref="A1:G52"/>
  <sheetViews>
    <sheetView workbookViewId="0" topLeftCell="A1">
      <selection activeCell="E7" sqref="E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454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499</v>
      </c>
      <c r="B6" s="105">
        <v>1236.76</v>
      </c>
      <c r="E6" s="2"/>
    </row>
    <row r="7" spans="2:5" ht="12.75" outlineLevel="1">
      <c r="B7" s="105"/>
      <c r="C7" s="136">
        <v>618.38</v>
      </c>
      <c r="D7" t="s">
        <v>443</v>
      </c>
      <c r="E7" s="2" t="s">
        <v>189</v>
      </c>
    </row>
    <row r="8" spans="2:5" ht="12.75" outlineLevel="1">
      <c r="B8" s="105"/>
      <c r="C8" s="136">
        <v>618.38</v>
      </c>
      <c r="D8" t="s">
        <v>444</v>
      </c>
      <c r="E8" s="2" t="s">
        <v>189</v>
      </c>
    </row>
    <row r="9" spans="2:5" ht="12.75" outlineLevel="1">
      <c r="B9" s="105"/>
      <c r="C9" s="136">
        <f>SUM(C7:C8)</f>
        <v>1236.76</v>
      </c>
      <c r="D9" t="s">
        <v>358</v>
      </c>
      <c r="E9" s="2"/>
    </row>
    <row r="10" spans="1:5" ht="12.75">
      <c r="A10" t="s">
        <v>618</v>
      </c>
      <c r="B10" s="105">
        <v>969.9</v>
      </c>
      <c r="E10" s="2"/>
    </row>
    <row r="11" spans="2:5" ht="12.75" outlineLevel="1">
      <c r="B11" s="105"/>
      <c r="C11" s="136">
        <v>900</v>
      </c>
      <c r="E11" s="2" t="s">
        <v>182</v>
      </c>
    </row>
    <row r="12" spans="2:5" ht="12.75" outlineLevel="1">
      <c r="B12" s="105"/>
      <c r="C12" s="136">
        <v>69.9</v>
      </c>
      <c r="E12" s="2" t="s">
        <v>182</v>
      </c>
    </row>
    <row r="13" spans="2:5" ht="12.75" outlineLevel="1">
      <c r="B13" s="105"/>
      <c r="C13" s="136">
        <f>SUM(C11:C12)</f>
        <v>969.9</v>
      </c>
      <c r="E13" s="2"/>
    </row>
    <row r="14" spans="1:5" ht="12.75">
      <c r="A14" t="s">
        <v>503</v>
      </c>
      <c r="B14" s="105">
        <v>272.86</v>
      </c>
      <c r="E14" s="2"/>
    </row>
    <row r="15" spans="2:5" ht="12.75" outlineLevel="1">
      <c r="B15" s="105"/>
      <c r="C15" s="136">
        <v>129.15</v>
      </c>
      <c r="D15" t="s">
        <v>455</v>
      </c>
      <c r="E15" s="2" t="s">
        <v>370</v>
      </c>
    </row>
    <row r="16" spans="2:5" ht="12.75" outlineLevel="1">
      <c r="B16" s="105"/>
      <c r="C16" s="136">
        <v>143.71</v>
      </c>
      <c r="D16" t="s">
        <v>456</v>
      </c>
      <c r="E16" s="2" t="s">
        <v>370</v>
      </c>
    </row>
    <row r="17" spans="2:5" ht="12.75" outlineLevel="1">
      <c r="B17" s="105"/>
      <c r="C17" s="136">
        <f>SUM(C15:C16)</f>
        <v>272.86</v>
      </c>
      <c r="E17" s="2"/>
    </row>
    <row r="18" spans="1:5" ht="12.75">
      <c r="A18" t="s">
        <v>439</v>
      </c>
      <c r="B18" s="105">
        <f>SUM(B6:B17)</f>
        <v>2479.52</v>
      </c>
      <c r="E18" s="2"/>
    </row>
    <row r="19" spans="2:5" ht="12.75">
      <c r="B19" s="105"/>
      <c r="E19" s="2"/>
    </row>
    <row r="20" spans="1:5" ht="12.75">
      <c r="A20" t="s">
        <v>611</v>
      </c>
      <c r="B20" s="105">
        <v>1190.1696</v>
      </c>
      <c r="E20" s="2"/>
    </row>
    <row r="21" spans="2:5" ht="12.75" outlineLevel="1">
      <c r="B21" s="105"/>
      <c r="C21" s="136">
        <f>$B$4*C9</f>
        <v>593.6447999999999</v>
      </c>
      <c r="D21" t="s">
        <v>499</v>
      </c>
      <c r="E21" s="2" t="s">
        <v>189</v>
      </c>
    </row>
    <row r="22" spans="2:5" ht="12.75" outlineLevel="1">
      <c r="B22" s="105"/>
      <c r="C22" s="136">
        <f>$B$4*C13</f>
        <v>465.55199999999996</v>
      </c>
      <c r="D22" t="s">
        <v>618</v>
      </c>
      <c r="E22" s="2" t="s">
        <v>182</v>
      </c>
    </row>
    <row r="23" spans="2:5" ht="12.75" outlineLevel="1">
      <c r="B23" s="105"/>
      <c r="C23" s="136">
        <f>$B$4*C17</f>
        <v>130.9728</v>
      </c>
      <c r="D23" t="s">
        <v>503</v>
      </c>
      <c r="E23" s="2" t="s">
        <v>370</v>
      </c>
    </row>
    <row r="24" spans="2:5" ht="12.75" outlineLevel="1">
      <c r="B24" s="105"/>
      <c r="C24" s="136">
        <f>SUM(C21:C23)</f>
        <v>1190.1696</v>
      </c>
      <c r="E24" s="2"/>
    </row>
    <row r="25" spans="2:5" ht="12.75">
      <c r="B25" s="105"/>
      <c r="E25" s="2"/>
    </row>
    <row r="26" spans="1:5" ht="12.75">
      <c r="A26" t="s">
        <v>612</v>
      </c>
      <c r="B26" s="105">
        <f>B18+B20</f>
        <v>3669.6895999999997</v>
      </c>
      <c r="E26" s="2"/>
    </row>
    <row r="27" spans="2:5" ht="12.75">
      <c r="B27" s="105"/>
      <c r="E27" s="2"/>
    </row>
    <row r="28" spans="1:5" ht="12.75">
      <c r="A28" t="s">
        <v>396</v>
      </c>
      <c r="B28" s="136">
        <v>9963.52</v>
      </c>
      <c r="E28" s="2"/>
    </row>
    <row r="29" spans="2:7" ht="12.75" outlineLevel="1">
      <c r="B29" s="105"/>
      <c r="C29" s="136">
        <f>140.7+61.46</f>
        <v>202.16</v>
      </c>
      <c r="D29" t="s">
        <v>619</v>
      </c>
      <c r="E29" s="2" t="s">
        <v>60</v>
      </c>
      <c r="G29" s="143"/>
    </row>
    <row r="30" spans="2:7" ht="12.75" outlineLevel="1">
      <c r="B30" s="105"/>
      <c r="C30" s="143">
        <v>2170.33</v>
      </c>
      <c r="D30" t="s">
        <v>620</v>
      </c>
      <c r="E30" s="2" t="s">
        <v>60</v>
      </c>
      <c r="F30" s="106"/>
      <c r="G30" s="152"/>
    </row>
    <row r="31" spans="2:7" ht="12.75" outlineLevel="1">
      <c r="B31" s="105"/>
      <c r="C31" s="143">
        <v>1457</v>
      </c>
      <c r="D31" s="153" t="s">
        <v>621</v>
      </c>
      <c r="E31" s="2" t="s">
        <v>60</v>
      </c>
      <c r="F31" s="139"/>
      <c r="G31" s="152"/>
    </row>
    <row r="32" spans="2:7" ht="12.75" outlineLevel="1">
      <c r="B32" s="105"/>
      <c r="C32" s="140">
        <v>3583.43</v>
      </c>
      <c r="D32" t="s">
        <v>622</v>
      </c>
      <c r="E32" s="2" t="s">
        <v>60</v>
      </c>
      <c r="F32" s="139"/>
      <c r="G32" s="152"/>
    </row>
    <row r="33" spans="2:7" ht="12.75" outlineLevel="1">
      <c r="B33" s="105"/>
      <c r="C33" s="143">
        <v>1738.35</v>
      </c>
      <c r="D33" s="153" t="s">
        <v>623</v>
      </c>
      <c r="E33" s="2" t="s">
        <v>60</v>
      </c>
      <c r="F33" s="139"/>
      <c r="G33" s="152"/>
    </row>
    <row r="34" spans="2:7" ht="12.75" outlineLevel="1">
      <c r="B34" s="105"/>
      <c r="C34" s="140">
        <v>812.25</v>
      </c>
      <c r="D34" s="153" t="s">
        <v>624</v>
      </c>
      <c r="E34" s="2" t="s">
        <v>60</v>
      </c>
      <c r="F34" s="139"/>
      <c r="G34" s="152"/>
    </row>
    <row r="35" spans="2:5" ht="12.75" outlineLevel="1">
      <c r="B35" s="105"/>
      <c r="C35" s="136">
        <f>SUM(C29:C34)</f>
        <v>9963.52</v>
      </c>
      <c r="E35" s="2"/>
    </row>
    <row r="36" spans="1:5" ht="12.75">
      <c r="A36" t="s">
        <v>368</v>
      </c>
      <c r="B36" s="105">
        <f>SUM(B28:B35)</f>
        <v>9963.52</v>
      </c>
      <c r="E36" s="2"/>
    </row>
    <row r="37" spans="2:5" ht="12.75">
      <c r="B37" s="105"/>
      <c r="E37" s="2"/>
    </row>
    <row r="38" spans="1:2" ht="12.75">
      <c r="A38" t="s">
        <v>415</v>
      </c>
      <c r="B38" s="105">
        <f>B26+B36</f>
        <v>13633.2096</v>
      </c>
    </row>
    <row r="39" ht="12.75">
      <c r="B39" s="105"/>
    </row>
    <row r="40" spans="1:2" ht="12.75">
      <c r="A40" t="s">
        <v>416</v>
      </c>
      <c r="B40" s="105">
        <v>0</v>
      </c>
    </row>
    <row r="41" ht="12.75">
      <c r="B41" s="105"/>
    </row>
    <row r="42" spans="1:2" ht="12.75">
      <c r="A42" t="s">
        <v>417</v>
      </c>
      <c r="B42" s="105">
        <f>B38-B40</f>
        <v>13633.2096</v>
      </c>
    </row>
    <row r="43" ht="12.75">
      <c r="B43" s="105"/>
    </row>
    <row r="44" spans="1:2" ht="12.75">
      <c r="A44" s="2" t="s">
        <v>370</v>
      </c>
      <c r="B44" s="136">
        <f>C15+C16+C23</f>
        <v>403.8328</v>
      </c>
    </row>
    <row r="45" spans="1:2" ht="12.75">
      <c r="A45" s="2" t="s">
        <v>189</v>
      </c>
      <c r="B45" s="136">
        <f>C21+C7+C8</f>
        <v>1830.4047999999998</v>
      </c>
    </row>
    <row r="46" spans="1:3" ht="12.75">
      <c r="A46" s="2" t="s">
        <v>60</v>
      </c>
      <c r="B46" s="136">
        <f>SUM(C29:C34)+C22+C11+C12</f>
        <v>11398.972</v>
      </c>
      <c r="C46" s="2"/>
    </row>
    <row r="47" spans="2:3" ht="12.75">
      <c r="B47" s="136">
        <f>SUM(B44:B46)</f>
        <v>13633.2096</v>
      </c>
      <c r="C47" s="2"/>
    </row>
    <row r="48" ht="12.75">
      <c r="C48" s="2"/>
    </row>
    <row r="49" spans="2:3" ht="12.75">
      <c r="B49" s="136"/>
      <c r="C49"/>
    </row>
    <row r="50" spans="2:3" ht="12.75">
      <c r="B50" s="136"/>
      <c r="C50"/>
    </row>
    <row r="51" spans="2:3" ht="12.75">
      <c r="B51" s="136"/>
      <c r="C51"/>
    </row>
    <row r="52" ht="12.75">
      <c r="B52" s="136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E14"/>
  <sheetViews>
    <sheetView workbookViewId="0" topLeftCell="A1">
      <selection activeCell="C10" sqref="C10"/>
    </sheetView>
  </sheetViews>
  <sheetFormatPr defaultColWidth="9.140625" defaultRowHeight="12.75"/>
  <cols>
    <col min="1" max="1" width="11.421875" style="0" bestFit="1" customWidth="1"/>
    <col min="2" max="2" width="28.8515625" style="0" bestFit="1" customWidth="1"/>
    <col min="3" max="3" width="14.8515625" style="0" customWidth="1"/>
    <col min="4" max="4" width="15.00390625" style="0" customWidth="1"/>
    <col min="5" max="5" width="13.8515625" style="0" customWidth="1"/>
  </cols>
  <sheetData>
    <row r="1" spans="1:5" ht="12.75">
      <c r="A1" t="s">
        <v>166</v>
      </c>
      <c r="B1" t="s">
        <v>1038</v>
      </c>
      <c r="C1" t="s">
        <v>1357</v>
      </c>
      <c r="D1" t="s">
        <v>640</v>
      </c>
      <c r="E1" t="s">
        <v>641</v>
      </c>
    </row>
    <row r="2" spans="1:5" ht="12.75">
      <c r="A2" s="272" t="s">
        <v>189</v>
      </c>
      <c r="B2" s="273" t="s">
        <v>851</v>
      </c>
      <c r="C2" s="194">
        <f>'WBS Expended'!AD9</f>
        <v>40548.59319999999</v>
      </c>
      <c r="D2" s="194">
        <f>'WBS Expended'!AG9</f>
        <v>40584</v>
      </c>
      <c r="E2" s="194">
        <f>D2-C2</f>
        <v>35.40680000001157</v>
      </c>
    </row>
    <row r="3" spans="1:5" ht="12.75">
      <c r="A3" s="272" t="s">
        <v>192</v>
      </c>
      <c r="B3" s="273" t="s">
        <v>1025</v>
      </c>
      <c r="C3" s="194">
        <f>'WBS Expended'!AD11</f>
        <v>67409.80040000001</v>
      </c>
      <c r="D3" s="194">
        <f>'WBS Expended'!AG11</f>
        <v>68520</v>
      </c>
      <c r="E3" s="194">
        <f aca="true" t="shared" si="0" ref="E3:E9">D3-C3</f>
        <v>1110.1995999999926</v>
      </c>
    </row>
    <row r="4" spans="1:5" ht="12.75">
      <c r="A4" s="272" t="s">
        <v>195</v>
      </c>
      <c r="B4" s="273" t="s">
        <v>1029</v>
      </c>
      <c r="C4" s="194">
        <f>'WBS Expended'!AD13</f>
        <v>49775.348</v>
      </c>
      <c r="D4" s="194">
        <f>'WBS Expended'!AG13</f>
        <v>50011.29</v>
      </c>
      <c r="E4" s="194">
        <f t="shared" si="0"/>
        <v>235.94200000000274</v>
      </c>
    </row>
    <row r="5" spans="1:5" ht="12.75">
      <c r="A5" s="272" t="s">
        <v>199</v>
      </c>
      <c r="B5" s="273" t="s">
        <v>1100</v>
      </c>
      <c r="C5" s="194">
        <f>'WBS Expended'!AD16</f>
        <v>105320.9868</v>
      </c>
      <c r="D5" s="194">
        <f>'WBS Expended'!AG16</f>
        <v>110000</v>
      </c>
      <c r="E5" s="194">
        <f t="shared" si="0"/>
        <v>4679.013200000001</v>
      </c>
    </row>
    <row r="6" spans="1:5" ht="12.75">
      <c r="A6" s="272" t="s">
        <v>60</v>
      </c>
      <c r="B6" s="273" t="s">
        <v>847</v>
      </c>
      <c r="C6" s="194">
        <f>'WBS Expended'!AD19</f>
        <v>59784</v>
      </c>
      <c r="D6" s="194">
        <f>'WBS Expended'!AG19</f>
        <v>59784</v>
      </c>
      <c r="E6" s="194">
        <f t="shared" si="0"/>
        <v>0</v>
      </c>
    </row>
    <row r="7" spans="1:5" ht="12.75">
      <c r="A7" s="272" t="s">
        <v>68</v>
      </c>
      <c r="B7" s="273" t="s">
        <v>849</v>
      </c>
      <c r="C7" s="194">
        <f>'WBS Expended'!AD22</f>
        <v>48076.18000000001</v>
      </c>
      <c r="D7" s="194">
        <f>'WBS Expended'!AG22</f>
        <v>50184</v>
      </c>
      <c r="E7" s="194">
        <f t="shared" si="0"/>
        <v>2107.8199999999924</v>
      </c>
    </row>
    <row r="8" spans="1:5" ht="12.75">
      <c r="A8" s="272" t="s">
        <v>89</v>
      </c>
      <c r="B8" s="284" t="s">
        <v>854</v>
      </c>
      <c r="C8" s="194">
        <f>'WBS Expended'!AD24</f>
        <v>22264.222000000005</v>
      </c>
      <c r="D8" s="194">
        <f>'WBS Expended'!AG24</f>
        <v>24000</v>
      </c>
      <c r="E8" s="194">
        <f t="shared" si="0"/>
        <v>1735.7779999999948</v>
      </c>
    </row>
    <row r="9" spans="1:5" ht="12.75">
      <c r="A9" s="292" t="s">
        <v>124</v>
      </c>
      <c r="B9" s="284" t="s">
        <v>846</v>
      </c>
      <c r="C9" s="194">
        <f>'WBS Expended'!AD25</f>
        <v>240904.8716</v>
      </c>
      <c r="D9" s="194">
        <f>'WBS Expended'!AG25</f>
        <v>283785.61</v>
      </c>
      <c r="E9" s="194">
        <f t="shared" si="0"/>
        <v>42880.73839999997</v>
      </c>
    </row>
    <row r="10" spans="2:5" ht="12.75">
      <c r="B10" s="284" t="s">
        <v>358</v>
      </c>
      <c r="C10" s="194">
        <f>SUM(C2:C9)</f>
        <v>634084.0020000001</v>
      </c>
      <c r="D10" s="194">
        <f>SUM(D2:D9)</f>
        <v>686868.9</v>
      </c>
      <c r="E10" s="194">
        <f>SUM(E2:E9)</f>
        <v>52784.89799999997</v>
      </c>
    </row>
    <row r="14" spans="2:3" ht="12.75">
      <c r="B14" t="s">
        <v>1359</v>
      </c>
      <c r="C14" s="136">
        <f>'Mar 00 cor'!C7+'Mar 00 cor'!C20+'April  00'!B6+'April  00'!C21+'May 00'!B6+'May 00'!C24+'Jun 00'!B11+'Jun 00'!C37+'July 00'!B11+'July 00'!C33+'Aug 00'!B11+'Aug 00'!C32+'Sept 00'!B10+'Sept 00'!C30+'Oct 00'!B10+'Oct 00'!C33+'Nov 00'!B10+'Nov 00'!C46+'Mar 01'!C9+'Mar 01'!C10+'Mar 01'!C11+'Mar 01'!C12+'Mar 01'!C11+'Mar 01'!C12+'Jun 01'!B18+'Jun 01'!C23+'Jun 01'!C49+'Jun 01'!C50+'Jul 01'!B16+'Jul 01'!C38+'Aug 01'!B16+'Aug 01'!C36+'Sep 01'!B18+'Sep 01'!B22+'Sep 01'!C45+'Sep 01'!C46+'Oct 01'!B18+'Oct 01'!C45+'Nov 01'!B18+'Nov 01'!C47+'Dec 01'!B18+'Dec 01'!C43+'Jan 02'!B20+'Jan 02'!C48+'Feb 02'!B18+'Feb 02'!B25+'Feb 02'!C42+'Feb 02'!C44+'Mar 02'!B18+'Mar 02'!C42</f>
        <v>36968.10199999998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S45"/>
  <sheetViews>
    <sheetView workbookViewId="0" topLeftCell="A1">
      <selection activeCell="C33" sqref="C33"/>
    </sheetView>
  </sheetViews>
  <sheetFormatPr defaultColWidth="9.140625" defaultRowHeight="12.75"/>
  <cols>
    <col min="1" max="1" width="8.140625" style="0" bestFit="1" customWidth="1"/>
    <col min="2" max="2" width="10.140625" style="0" bestFit="1" customWidth="1"/>
    <col min="3" max="4" width="7.57421875" style="0" bestFit="1" customWidth="1"/>
    <col min="6" max="6" width="7.7109375" style="0" bestFit="1" customWidth="1"/>
    <col min="7" max="7" width="5.8515625" style="0" bestFit="1" customWidth="1"/>
    <col min="9" max="9" width="10.140625" style="0" bestFit="1" customWidth="1"/>
    <col min="10" max="10" width="10.140625" style="0" customWidth="1"/>
    <col min="11" max="11" width="11.00390625" style="149" bestFit="1" customWidth="1"/>
    <col min="12" max="12" width="12.421875" style="0" customWidth="1"/>
    <col min="13" max="13" width="9.140625" style="105" customWidth="1"/>
    <col min="14" max="14" width="18.140625" style="0" customWidth="1"/>
    <col min="16" max="16" width="10.140625" style="0" bestFit="1" customWidth="1"/>
    <col min="17" max="17" width="10.28125" style="0" customWidth="1"/>
    <col min="18" max="18" width="10.8515625" style="0" customWidth="1"/>
  </cols>
  <sheetData>
    <row r="1" ht="12.75">
      <c r="I1" s="1">
        <v>9715</v>
      </c>
    </row>
    <row r="3" spans="1:18" ht="12.75">
      <c r="A3" s="499" t="s">
        <v>360</v>
      </c>
      <c r="B3" s="500"/>
      <c r="C3" s="500"/>
      <c r="D3" s="500"/>
      <c r="E3" s="500"/>
      <c r="F3" s="500"/>
      <c r="G3" s="500"/>
      <c r="H3" s="500"/>
      <c r="I3" s="500"/>
      <c r="J3" s="501"/>
      <c r="K3" s="145"/>
      <c r="M3" s="502" t="s">
        <v>359</v>
      </c>
      <c r="N3" s="503"/>
      <c r="O3" s="503"/>
      <c r="P3" s="503"/>
      <c r="Q3" s="504"/>
      <c r="R3" s="107"/>
    </row>
    <row r="4" spans="1:19" ht="12.75">
      <c r="A4" s="115" t="s">
        <v>353</v>
      </c>
      <c r="B4" s="115" t="s">
        <v>346</v>
      </c>
      <c r="C4" s="115" t="s">
        <v>347</v>
      </c>
      <c r="D4" s="115" t="s">
        <v>373</v>
      </c>
      <c r="E4" s="115" t="s">
        <v>363</v>
      </c>
      <c r="F4" s="115" t="s">
        <v>348</v>
      </c>
      <c r="G4" s="115" t="s">
        <v>349</v>
      </c>
      <c r="H4" s="115" t="s">
        <v>366</v>
      </c>
      <c r="I4" s="115" t="s">
        <v>237</v>
      </c>
      <c r="J4" s="112" t="s">
        <v>365</v>
      </c>
      <c r="K4" s="146" t="s">
        <v>464</v>
      </c>
      <c r="M4" s="115" t="s">
        <v>353</v>
      </c>
      <c r="N4" s="115" t="s">
        <v>361</v>
      </c>
      <c r="O4" s="115" t="s">
        <v>362</v>
      </c>
      <c r="P4" s="120" t="s">
        <v>168</v>
      </c>
      <c r="Q4" s="112" t="s">
        <v>365</v>
      </c>
      <c r="R4" s="141" t="s">
        <v>464</v>
      </c>
      <c r="S4" s="141" t="s">
        <v>166</v>
      </c>
    </row>
    <row r="5" spans="1:18" ht="12.75">
      <c r="A5" s="123"/>
      <c r="B5" s="108"/>
      <c r="C5" s="108"/>
      <c r="D5" s="108"/>
      <c r="E5" s="108"/>
      <c r="F5" s="108"/>
      <c r="G5" s="108"/>
      <c r="H5" s="108"/>
      <c r="I5" s="119">
        <v>8118.72</v>
      </c>
      <c r="J5" s="119">
        <v>8118.72</v>
      </c>
      <c r="K5" s="150"/>
      <c r="M5" s="123"/>
      <c r="N5" s="108"/>
      <c r="O5" s="108"/>
      <c r="P5" s="121">
        <v>1267.3</v>
      </c>
      <c r="Q5" s="118">
        <f>P5</f>
        <v>1267.3</v>
      </c>
      <c r="R5" s="142"/>
    </row>
    <row r="6" spans="1:18" ht="12.75">
      <c r="A6" s="124">
        <v>36414</v>
      </c>
      <c r="B6" s="110">
        <v>538.88</v>
      </c>
      <c r="C6" s="110"/>
      <c r="D6" s="110"/>
      <c r="E6" s="110"/>
      <c r="F6" s="110"/>
      <c r="G6" s="110"/>
      <c r="H6" s="110"/>
      <c r="I6" s="110">
        <f aca="true" t="shared" si="0" ref="I6:I16">SUM(B6:H6)</f>
        <v>538.88</v>
      </c>
      <c r="J6" s="110">
        <f>J5+I6</f>
        <v>8657.6</v>
      </c>
      <c r="K6" s="148"/>
      <c r="M6" s="124">
        <v>36486</v>
      </c>
      <c r="N6" s="113" t="s">
        <v>357</v>
      </c>
      <c r="O6" s="113" t="s">
        <v>346</v>
      </c>
      <c r="P6" s="110">
        <v>1078</v>
      </c>
      <c r="Q6" s="110">
        <f>P6+Q5</f>
        <v>2345.3</v>
      </c>
      <c r="R6" s="143"/>
    </row>
    <row r="7" spans="1:19" ht="12.75">
      <c r="A7" s="124">
        <v>36428</v>
      </c>
      <c r="B7" s="110">
        <v>1077.76</v>
      </c>
      <c r="C7" s="110"/>
      <c r="D7" s="110"/>
      <c r="E7" s="110"/>
      <c r="F7" s="110"/>
      <c r="G7" s="110"/>
      <c r="H7" s="110"/>
      <c r="I7" s="110">
        <f t="shared" si="0"/>
        <v>1077.76</v>
      </c>
      <c r="J7" s="110">
        <f>J6+I7</f>
        <v>9735.36</v>
      </c>
      <c r="K7" s="148"/>
      <c r="M7" s="124">
        <v>36557</v>
      </c>
      <c r="N7" s="113" t="s">
        <v>356</v>
      </c>
      <c r="O7" s="113" t="s">
        <v>346</v>
      </c>
      <c r="P7" s="110">
        <v>113.62</v>
      </c>
      <c r="Q7" s="110">
        <f aca="true" t="shared" si="1" ref="Q7:Q18">P7+Q6</f>
        <v>2458.92</v>
      </c>
      <c r="R7" s="143"/>
      <c r="S7" s="40" t="s">
        <v>70</v>
      </c>
    </row>
    <row r="8" spans="1:19" ht="12.75">
      <c r="A8" s="124">
        <v>36442</v>
      </c>
      <c r="B8" s="110">
        <v>1616.64</v>
      </c>
      <c r="C8" s="110"/>
      <c r="D8" s="110"/>
      <c r="E8" s="110"/>
      <c r="F8" s="110"/>
      <c r="G8" s="110"/>
      <c r="H8" s="110"/>
      <c r="I8" s="110">
        <f t="shared" si="0"/>
        <v>1616.64</v>
      </c>
      <c r="J8" s="110">
        <f aca="true" t="shared" si="2" ref="J8:J29">J7+I8</f>
        <v>11352</v>
      </c>
      <c r="K8" s="148"/>
      <c r="M8" s="124">
        <v>36584</v>
      </c>
      <c r="N8" s="113" t="s">
        <v>355</v>
      </c>
      <c r="O8" s="113" t="s">
        <v>347</v>
      </c>
      <c r="P8" s="110">
        <v>383.75</v>
      </c>
      <c r="Q8" s="110">
        <f t="shared" si="1"/>
        <v>2842.67</v>
      </c>
      <c r="R8" s="128">
        <v>36586</v>
      </c>
      <c r="S8" s="40" t="s">
        <v>70</v>
      </c>
    </row>
    <row r="9" spans="1:18" ht="12.75">
      <c r="A9" s="124">
        <v>36456</v>
      </c>
      <c r="B9" s="110">
        <v>867.6</v>
      </c>
      <c r="C9" s="110"/>
      <c r="D9" s="110"/>
      <c r="E9" s="110"/>
      <c r="F9" s="110"/>
      <c r="G9" s="110"/>
      <c r="H9" s="110"/>
      <c r="I9" s="110">
        <f t="shared" si="0"/>
        <v>867.6</v>
      </c>
      <c r="J9" s="110">
        <f t="shared" si="2"/>
        <v>12219.6</v>
      </c>
      <c r="K9" s="148"/>
      <c r="M9" s="124">
        <v>36599</v>
      </c>
      <c r="N9" s="113" t="s">
        <v>352</v>
      </c>
      <c r="O9" s="113" t="s">
        <v>347</v>
      </c>
      <c r="P9" s="110">
        <v>16.7</v>
      </c>
      <c r="Q9" s="110">
        <f t="shared" si="1"/>
        <v>2859.37</v>
      </c>
      <c r="R9" s="128">
        <v>36617</v>
      </c>
    </row>
    <row r="10" spans="1:18" ht="12.75">
      <c r="A10" s="124">
        <v>36470</v>
      </c>
      <c r="B10" s="110">
        <v>1156.8</v>
      </c>
      <c r="C10" s="110"/>
      <c r="D10" s="110"/>
      <c r="E10" s="110"/>
      <c r="F10" s="110"/>
      <c r="G10" s="110"/>
      <c r="H10" s="110"/>
      <c r="I10" s="110">
        <f t="shared" si="0"/>
        <v>1156.8</v>
      </c>
      <c r="J10" s="110">
        <f t="shared" si="2"/>
        <v>13376.4</v>
      </c>
      <c r="K10" s="148"/>
      <c r="M10" s="124">
        <v>36602</v>
      </c>
      <c r="N10" s="113" t="s">
        <v>354</v>
      </c>
      <c r="O10" s="113" t="s">
        <v>347</v>
      </c>
      <c r="P10" s="110">
        <v>124.7</v>
      </c>
      <c r="Q10" s="110">
        <f t="shared" si="1"/>
        <v>2984.0699999999997</v>
      </c>
      <c r="R10" s="128">
        <v>36617</v>
      </c>
    </row>
    <row r="11" spans="1:18" ht="12.75">
      <c r="A11" s="124">
        <v>36484</v>
      </c>
      <c r="B11" s="110">
        <v>1156.8</v>
      </c>
      <c r="C11" s="110"/>
      <c r="D11" s="110"/>
      <c r="E11" s="110"/>
      <c r="F11" s="110"/>
      <c r="G11" s="110"/>
      <c r="H11" s="110"/>
      <c r="I11" s="110">
        <f t="shared" si="0"/>
        <v>1156.8</v>
      </c>
      <c r="J11" s="110">
        <f t="shared" si="2"/>
        <v>14533.199999999999</v>
      </c>
      <c r="K11" s="148"/>
      <c r="M11" s="124">
        <v>36623</v>
      </c>
      <c r="N11" s="113" t="s">
        <v>351</v>
      </c>
      <c r="O11" s="113" t="s">
        <v>347</v>
      </c>
      <c r="P11" s="110">
        <v>61.46</v>
      </c>
      <c r="Q11" s="110">
        <f t="shared" si="1"/>
        <v>3045.5299999999997</v>
      </c>
      <c r="R11" s="128">
        <v>36617</v>
      </c>
    </row>
    <row r="12" spans="1:18" ht="12.75">
      <c r="A12" s="124">
        <v>36498</v>
      </c>
      <c r="B12" s="110">
        <v>867.6</v>
      </c>
      <c r="C12" s="110"/>
      <c r="D12" s="110"/>
      <c r="E12" s="110"/>
      <c r="F12" s="110"/>
      <c r="G12" s="110"/>
      <c r="H12" s="110"/>
      <c r="I12" s="110">
        <f t="shared" si="0"/>
        <v>867.6</v>
      </c>
      <c r="J12" s="110">
        <f t="shared" si="2"/>
        <v>15400.8</v>
      </c>
      <c r="K12" s="148"/>
      <c r="M12" s="124">
        <v>36637</v>
      </c>
      <c r="N12" s="113" t="s">
        <v>350</v>
      </c>
      <c r="O12" s="113" t="s">
        <v>366</v>
      </c>
      <c r="P12" s="110">
        <v>247.5</v>
      </c>
      <c r="Q12" s="110">
        <f t="shared" si="1"/>
        <v>3293.0299999999997</v>
      </c>
      <c r="R12" s="128">
        <v>36647</v>
      </c>
    </row>
    <row r="13" spans="1:19" ht="12.75">
      <c r="A13" s="124">
        <v>36512</v>
      </c>
      <c r="B13" s="110">
        <v>723</v>
      </c>
      <c r="C13" s="110"/>
      <c r="D13" s="110"/>
      <c r="E13" s="110"/>
      <c r="F13" s="110"/>
      <c r="G13" s="110"/>
      <c r="H13" s="110"/>
      <c r="I13" s="110">
        <f t="shared" si="0"/>
        <v>723</v>
      </c>
      <c r="J13" s="110">
        <f t="shared" si="2"/>
        <v>16123.8</v>
      </c>
      <c r="K13" s="148"/>
      <c r="M13" s="124"/>
      <c r="N13" s="113" t="s">
        <v>371</v>
      </c>
      <c r="O13" s="113" t="s">
        <v>372</v>
      </c>
      <c r="P13" s="110">
        <v>324</v>
      </c>
      <c r="Q13" s="110">
        <f t="shared" si="1"/>
        <v>3617.0299999999997</v>
      </c>
      <c r="R13" s="148"/>
      <c r="S13" s="40" t="s">
        <v>182</v>
      </c>
    </row>
    <row r="14" spans="1:19" ht="12.75">
      <c r="A14" s="124">
        <v>36526</v>
      </c>
      <c r="B14" s="110">
        <v>582.8</v>
      </c>
      <c r="C14" s="110"/>
      <c r="D14" s="110"/>
      <c r="E14" s="110"/>
      <c r="F14" s="110"/>
      <c r="G14" s="110"/>
      <c r="H14" s="110"/>
      <c r="I14" s="110">
        <f t="shared" si="0"/>
        <v>582.8</v>
      </c>
      <c r="J14" s="110">
        <f t="shared" si="2"/>
        <v>16706.6</v>
      </c>
      <c r="K14" s="148"/>
      <c r="M14" s="124"/>
      <c r="N14" s="113" t="s">
        <v>371</v>
      </c>
      <c r="O14" s="113" t="s">
        <v>372</v>
      </c>
      <c r="P14" s="110">
        <v>2261</v>
      </c>
      <c r="Q14" s="110">
        <f t="shared" si="1"/>
        <v>5878.03</v>
      </c>
      <c r="R14" s="148"/>
      <c r="S14" s="40" t="s">
        <v>187</v>
      </c>
    </row>
    <row r="15" spans="1:18" ht="12.75">
      <c r="A15" s="124">
        <v>36540</v>
      </c>
      <c r="B15" s="110">
        <v>1457</v>
      </c>
      <c r="C15" s="110"/>
      <c r="D15" s="110"/>
      <c r="E15" s="110"/>
      <c r="F15" s="110"/>
      <c r="G15" s="110"/>
      <c r="H15" s="110"/>
      <c r="I15" s="110">
        <f t="shared" si="0"/>
        <v>1457</v>
      </c>
      <c r="J15" s="110">
        <f t="shared" si="2"/>
        <v>18163.6</v>
      </c>
      <c r="K15" s="128">
        <v>36557</v>
      </c>
      <c r="L15" s="40" t="s">
        <v>68</v>
      </c>
      <c r="M15" s="124">
        <v>36651</v>
      </c>
      <c r="N15" s="113" t="s">
        <v>351</v>
      </c>
      <c r="O15" s="113" t="s">
        <v>347</v>
      </c>
      <c r="P15" s="110">
        <v>1656</v>
      </c>
      <c r="Q15" s="110">
        <f t="shared" si="1"/>
        <v>7534.03</v>
      </c>
      <c r="R15" s="143" t="s">
        <v>465</v>
      </c>
    </row>
    <row r="16" spans="1:18" ht="12.75">
      <c r="A16" s="124">
        <v>36554</v>
      </c>
      <c r="B16" s="110">
        <v>874.2</v>
      </c>
      <c r="C16" s="110"/>
      <c r="D16" s="110"/>
      <c r="E16" s="110"/>
      <c r="F16" s="110"/>
      <c r="G16" s="110"/>
      <c r="H16" s="110"/>
      <c r="I16" s="110">
        <f t="shared" si="0"/>
        <v>874.2</v>
      </c>
      <c r="J16" s="110">
        <f t="shared" si="2"/>
        <v>19037.8</v>
      </c>
      <c r="K16" s="128">
        <v>36557</v>
      </c>
      <c r="L16" s="40" t="s">
        <v>68</v>
      </c>
      <c r="M16" s="124">
        <v>36651</v>
      </c>
      <c r="N16" s="113" t="s">
        <v>352</v>
      </c>
      <c r="O16" s="113" t="s">
        <v>347</v>
      </c>
      <c r="P16" s="110">
        <v>80.3</v>
      </c>
      <c r="Q16" s="110">
        <f t="shared" si="1"/>
        <v>7614.33</v>
      </c>
      <c r="R16" s="143" t="s">
        <v>465</v>
      </c>
    </row>
    <row r="17" spans="1:18" ht="12.75">
      <c r="A17" s="124">
        <v>36568</v>
      </c>
      <c r="B17" s="110">
        <v>1457</v>
      </c>
      <c r="C17" s="110">
        <v>174.04</v>
      </c>
      <c r="D17" s="110"/>
      <c r="E17" s="110"/>
      <c r="F17" s="110"/>
      <c r="G17" s="110"/>
      <c r="H17" s="110">
        <v>796</v>
      </c>
      <c r="I17" s="110">
        <f aca="true" t="shared" si="3" ref="I17:I23">SUM(B17:H17)</f>
        <v>2427.04</v>
      </c>
      <c r="J17" s="110">
        <f t="shared" si="2"/>
        <v>21464.84</v>
      </c>
      <c r="K17" s="128">
        <v>36586</v>
      </c>
      <c r="L17" s="40" t="s">
        <v>68</v>
      </c>
      <c r="M17" s="124">
        <v>36746</v>
      </c>
      <c r="N17" s="113" t="s">
        <v>375</v>
      </c>
      <c r="O17" s="113" t="s">
        <v>366</v>
      </c>
      <c r="P17" s="110">
        <v>3.7</v>
      </c>
      <c r="Q17" s="110">
        <f t="shared" si="1"/>
        <v>7618.03</v>
      </c>
      <c r="R17" s="128">
        <v>36739</v>
      </c>
    </row>
    <row r="18" spans="1:18" ht="12.75">
      <c r="A18" s="124">
        <v>36582</v>
      </c>
      <c r="B18" s="110">
        <v>1748.4</v>
      </c>
      <c r="C18" s="110">
        <v>261.06</v>
      </c>
      <c r="D18" s="110"/>
      <c r="E18" s="110"/>
      <c r="F18" s="110"/>
      <c r="G18" s="110"/>
      <c r="H18" s="110"/>
      <c r="I18" s="110">
        <f t="shared" si="3"/>
        <v>2009.46</v>
      </c>
      <c r="J18" s="110">
        <f t="shared" si="2"/>
        <v>23474.3</v>
      </c>
      <c r="K18" s="128">
        <v>36586</v>
      </c>
      <c r="L18" s="40" t="s">
        <v>68</v>
      </c>
      <c r="M18" s="124">
        <v>36844</v>
      </c>
      <c r="N18" s="113" t="s">
        <v>391</v>
      </c>
      <c r="O18" s="113" t="s">
        <v>346</v>
      </c>
      <c r="P18" s="110">
        <f>2459.5</f>
        <v>2459.5</v>
      </c>
      <c r="Q18" s="110">
        <f t="shared" si="1"/>
        <v>10077.529999999999</v>
      </c>
      <c r="R18" s="128">
        <v>36831</v>
      </c>
    </row>
    <row r="19" spans="1:18" ht="12.75">
      <c r="A19" s="124">
        <v>36596</v>
      </c>
      <c r="B19" s="110">
        <v>2039.8</v>
      </c>
      <c r="C19" s="110">
        <v>130.53</v>
      </c>
      <c r="D19" s="110"/>
      <c r="E19" s="110"/>
      <c r="F19" s="110"/>
      <c r="G19" s="110"/>
      <c r="H19" s="110"/>
      <c r="I19" s="110">
        <f t="shared" si="3"/>
        <v>2170.33</v>
      </c>
      <c r="J19" s="110">
        <f t="shared" si="2"/>
        <v>25644.629999999997</v>
      </c>
      <c r="K19" s="128">
        <v>36617</v>
      </c>
      <c r="L19" s="40" t="s">
        <v>60</v>
      </c>
      <c r="M19" s="124">
        <v>36844</v>
      </c>
      <c r="N19" s="113" t="s">
        <v>669</v>
      </c>
      <c r="O19" s="113" t="s">
        <v>346</v>
      </c>
      <c r="P19" s="110">
        <f>33</f>
        <v>33</v>
      </c>
      <c r="Q19" s="110">
        <f>P19+Q18</f>
        <v>10110.529999999999</v>
      </c>
      <c r="R19" s="128">
        <v>36831</v>
      </c>
    </row>
    <row r="20" spans="1:18" ht="12.75">
      <c r="A20" s="124">
        <v>36610</v>
      </c>
      <c r="B20" s="110">
        <v>1457</v>
      </c>
      <c r="C20" s="110"/>
      <c r="D20" s="110"/>
      <c r="E20" s="110"/>
      <c r="F20" s="110"/>
      <c r="G20" s="110"/>
      <c r="H20" s="110"/>
      <c r="I20" s="110">
        <f t="shared" si="3"/>
        <v>1457</v>
      </c>
      <c r="J20" s="110">
        <f t="shared" si="2"/>
        <v>27101.629999999997</v>
      </c>
      <c r="K20" s="128">
        <v>36617</v>
      </c>
      <c r="L20" s="40" t="s">
        <v>60</v>
      </c>
      <c r="M20" s="124">
        <v>36875</v>
      </c>
      <c r="N20" s="113" t="s">
        <v>675</v>
      </c>
      <c r="O20" s="113" t="s">
        <v>346</v>
      </c>
      <c r="P20" s="110">
        <v>3842.1</v>
      </c>
      <c r="Q20" s="110">
        <f>P20+Q19</f>
        <v>13952.63</v>
      </c>
      <c r="R20" s="127">
        <v>36861</v>
      </c>
    </row>
    <row r="21" spans="1:18" ht="12.75">
      <c r="A21" s="124">
        <v>36624</v>
      </c>
      <c r="B21" s="110">
        <v>1457</v>
      </c>
      <c r="C21" s="110">
        <v>130.53</v>
      </c>
      <c r="D21" s="110"/>
      <c r="E21" s="110"/>
      <c r="F21" s="110"/>
      <c r="G21" s="110"/>
      <c r="H21" s="110"/>
      <c r="I21" s="110">
        <f t="shared" si="3"/>
        <v>1587.53</v>
      </c>
      <c r="J21" s="110">
        <f t="shared" si="2"/>
        <v>28689.159999999996</v>
      </c>
      <c r="K21" s="128">
        <v>36647</v>
      </c>
      <c r="M21" s="124">
        <v>36875</v>
      </c>
      <c r="N21" s="113" t="s">
        <v>669</v>
      </c>
      <c r="O21" s="113" t="s">
        <v>346</v>
      </c>
      <c r="P21" s="110">
        <v>33</v>
      </c>
      <c r="Q21" s="110">
        <f>P21+Q20</f>
        <v>13985.63</v>
      </c>
      <c r="R21" s="127">
        <v>36861</v>
      </c>
    </row>
    <row r="22" spans="1:17" ht="12.75">
      <c r="A22" s="124">
        <v>36638</v>
      </c>
      <c r="B22" s="110">
        <v>1748.4</v>
      </c>
      <c r="C22" s="110">
        <v>43.51</v>
      </c>
      <c r="D22" s="110"/>
      <c r="E22" s="110"/>
      <c r="F22" s="110">
        <v>169.4</v>
      </c>
      <c r="G22" s="110">
        <v>5</v>
      </c>
      <c r="H22" s="110"/>
      <c r="I22" s="110">
        <f t="shared" si="3"/>
        <v>1966.3100000000002</v>
      </c>
      <c r="J22" s="110">
        <f t="shared" si="2"/>
        <v>30655.469999999998</v>
      </c>
      <c r="K22" s="128">
        <v>36647</v>
      </c>
      <c r="M22" s="109" t="s">
        <v>237</v>
      </c>
      <c r="N22" s="114"/>
      <c r="O22" s="114"/>
      <c r="P22" s="111">
        <f>SUM(P5:P18)</f>
        <v>10077.529999999999</v>
      </c>
      <c r="Q22" s="114"/>
    </row>
    <row r="23" spans="1:11" ht="12.75">
      <c r="A23" s="124">
        <v>36652</v>
      </c>
      <c r="B23" s="110">
        <v>1748.4</v>
      </c>
      <c r="C23" s="110"/>
      <c r="D23" s="110">
        <v>200.12</v>
      </c>
      <c r="E23" s="110"/>
      <c r="F23" s="110"/>
      <c r="G23" s="110"/>
      <c r="H23" s="110"/>
      <c r="I23" s="110">
        <f t="shared" si="3"/>
        <v>1948.52</v>
      </c>
      <c r="J23" s="110">
        <f t="shared" si="2"/>
        <v>32603.989999999998</v>
      </c>
      <c r="K23" s="128">
        <v>36678</v>
      </c>
    </row>
    <row r="24" spans="1:11" ht="12.75">
      <c r="A24" s="124">
        <v>36666</v>
      </c>
      <c r="B24" s="110">
        <v>1748.4</v>
      </c>
      <c r="C24" s="110"/>
      <c r="D24" s="110"/>
      <c r="E24" s="110"/>
      <c r="F24" s="110"/>
      <c r="G24" s="110"/>
      <c r="H24" s="110"/>
      <c r="I24" s="110">
        <f aca="true" t="shared" si="4" ref="I24:I29">SUM(B24:H24)</f>
        <v>1748.4</v>
      </c>
      <c r="J24" s="110">
        <f t="shared" si="2"/>
        <v>34352.39</v>
      </c>
      <c r="K24" s="128">
        <v>36678</v>
      </c>
    </row>
    <row r="25" spans="1:11" ht="12.75">
      <c r="A25" s="124">
        <v>36680</v>
      </c>
      <c r="B25" s="110">
        <v>1457</v>
      </c>
      <c r="C25" s="110"/>
      <c r="D25" s="110"/>
      <c r="E25" s="110">
        <v>371.91</v>
      </c>
      <c r="F25" s="110"/>
      <c r="G25" s="110"/>
      <c r="H25" s="110"/>
      <c r="I25" s="110">
        <f t="shared" si="4"/>
        <v>1828.91</v>
      </c>
      <c r="J25" s="110">
        <f t="shared" si="2"/>
        <v>36181.3</v>
      </c>
      <c r="K25" s="128">
        <v>36678</v>
      </c>
    </row>
    <row r="26" spans="1:11" ht="12.75">
      <c r="A26" s="124">
        <v>36708</v>
      </c>
      <c r="B26" s="110"/>
      <c r="C26" s="110"/>
      <c r="D26" s="110"/>
      <c r="E26" s="110"/>
      <c r="F26" s="110"/>
      <c r="G26" s="110"/>
      <c r="H26" s="110">
        <v>489.1</v>
      </c>
      <c r="I26" s="110">
        <f t="shared" si="4"/>
        <v>489.1</v>
      </c>
      <c r="J26" s="110">
        <f t="shared" si="2"/>
        <v>36670.4</v>
      </c>
      <c r="K26" s="128">
        <v>36739</v>
      </c>
    </row>
    <row r="27" spans="1:11" ht="12.75">
      <c r="A27" s="124">
        <v>36764</v>
      </c>
      <c r="B27" s="110"/>
      <c r="C27" s="110"/>
      <c r="D27" s="110"/>
      <c r="E27" s="110">
        <v>653.04</v>
      </c>
      <c r="F27" s="110"/>
      <c r="G27" s="110"/>
      <c r="H27" s="110"/>
      <c r="I27" s="110">
        <f t="shared" si="4"/>
        <v>653.04</v>
      </c>
      <c r="J27" s="110">
        <f t="shared" si="2"/>
        <v>37323.44</v>
      </c>
      <c r="K27" s="128">
        <v>36770</v>
      </c>
    </row>
    <row r="28" spans="1:11" ht="12.75">
      <c r="A28" s="124">
        <v>36778</v>
      </c>
      <c r="B28" s="110"/>
      <c r="C28" s="110"/>
      <c r="D28" s="110"/>
      <c r="E28" s="110">
        <v>136.06</v>
      </c>
      <c r="F28" s="110"/>
      <c r="G28" s="110"/>
      <c r="H28" s="110"/>
      <c r="I28" s="110">
        <f t="shared" si="4"/>
        <v>136.06</v>
      </c>
      <c r="J28" s="110">
        <f t="shared" si="2"/>
        <v>37459.5</v>
      </c>
      <c r="K28" s="128">
        <v>36861</v>
      </c>
    </row>
    <row r="29" spans="1:11" ht="12.75">
      <c r="A29" s="124">
        <v>36806</v>
      </c>
      <c r="B29" s="110"/>
      <c r="C29" s="110"/>
      <c r="D29" s="110"/>
      <c r="E29" s="110">
        <v>625.84</v>
      </c>
      <c r="F29" s="110"/>
      <c r="G29" s="110"/>
      <c r="H29" s="110"/>
      <c r="I29" s="110">
        <f t="shared" si="4"/>
        <v>625.84</v>
      </c>
      <c r="J29" s="110">
        <f t="shared" si="2"/>
        <v>38085.34</v>
      </c>
      <c r="K29" s="128">
        <v>36861</v>
      </c>
    </row>
    <row r="30" spans="1:11" ht="12.75">
      <c r="A30" s="109" t="s">
        <v>358</v>
      </c>
      <c r="B30" s="111">
        <f aca="true" t="shared" si="5" ref="B30:H30">SUM(B6:B29)</f>
        <v>25780.480000000003</v>
      </c>
      <c r="C30" s="111">
        <f t="shared" si="5"/>
        <v>739.67</v>
      </c>
      <c r="D30" s="111">
        <f t="shared" si="5"/>
        <v>200.12</v>
      </c>
      <c r="E30" s="111">
        <f t="shared" si="5"/>
        <v>1786.85</v>
      </c>
      <c r="F30" s="111">
        <f t="shared" si="5"/>
        <v>169.4</v>
      </c>
      <c r="G30" s="111">
        <f t="shared" si="5"/>
        <v>5</v>
      </c>
      <c r="H30" s="111">
        <f t="shared" si="5"/>
        <v>1285.1</v>
      </c>
      <c r="I30" s="111">
        <f>SUM(I5:I29)</f>
        <v>38085.34</v>
      </c>
      <c r="J30" s="114"/>
      <c r="K30" s="148"/>
    </row>
    <row r="31" ht="12.75">
      <c r="K31" s="148"/>
    </row>
    <row r="32" ht="12.75">
      <c r="K32" s="148"/>
    </row>
    <row r="33" ht="12.75">
      <c r="K33" s="148"/>
    </row>
    <row r="34" ht="12.75">
      <c r="K34" s="148"/>
    </row>
    <row r="35" ht="12.75">
      <c r="K35" s="148"/>
    </row>
    <row r="43" ht="12.75">
      <c r="B43" s="105"/>
    </row>
    <row r="44" ht="12.75">
      <c r="B44" s="105"/>
    </row>
    <row r="45" ht="12.75">
      <c r="B45" s="105"/>
    </row>
  </sheetData>
  <mergeCells count="2">
    <mergeCell ref="A3:J3"/>
    <mergeCell ref="M3:Q3"/>
  </mergeCells>
  <printOptions/>
  <pageMargins left="0.53" right="0.55" top="1" bottom="1" header="0.5" footer="0.5"/>
  <pageSetup fitToHeight="1" fitToWidth="1" horizontalDpi="600" verticalDpi="600" orientation="landscape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8"/>
  <dimension ref="A1:V216"/>
  <sheetViews>
    <sheetView tabSelected="1" zoomScale="85" zoomScaleNormal="85" workbookViewId="0" topLeftCell="G4">
      <pane ySplit="465" topLeftCell="BM171" activePane="bottomLeft" state="split"/>
      <selection pane="topLeft" activeCell="B4" sqref="B1:D16384"/>
      <selection pane="bottomLeft" activeCell="M217" sqref="M217"/>
    </sheetView>
  </sheetViews>
  <sheetFormatPr defaultColWidth="9.140625" defaultRowHeight="12.75"/>
  <cols>
    <col min="2" max="2" width="11.28125" style="129" bestFit="1" customWidth="1"/>
    <col min="3" max="3" width="9.8515625" style="132" customWidth="1"/>
    <col min="4" max="4" width="11.28125" style="132" bestFit="1" customWidth="1"/>
    <col min="5" max="8" width="10.57421875" style="0" customWidth="1"/>
    <col min="9" max="10" width="9.28125" style="0" bestFit="1" customWidth="1"/>
    <col min="11" max="11" width="11.00390625" style="0" customWidth="1"/>
    <col min="12" max="12" width="12.7109375" style="0" customWidth="1"/>
    <col min="13" max="13" width="12.7109375" style="149" customWidth="1"/>
    <col min="14" max="15" width="11.28125" style="0" customWidth="1"/>
    <col min="17" max="17" width="25.421875" style="0" customWidth="1"/>
    <col min="18" max="18" width="14.28125" style="0" customWidth="1"/>
    <col min="19" max="19" width="11.57421875" style="0" customWidth="1"/>
    <col min="20" max="20" width="10.28125" style="0" bestFit="1" customWidth="1"/>
    <col min="21" max="21" width="10.28125" style="0" customWidth="1"/>
  </cols>
  <sheetData>
    <row r="1" spans="12:14" ht="12.75">
      <c r="L1" s="1">
        <v>9725</v>
      </c>
      <c r="M1" s="144"/>
      <c r="N1" t="s">
        <v>377</v>
      </c>
    </row>
    <row r="3" spans="1:19" ht="12.75">
      <c r="A3" s="502" t="s">
        <v>360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  <c r="M3" s="145"/>
      <c r="P3" s="502" t="s">
        <v>359</v>
      </c>
      <c r="Q3" s="500"/>
      <c r="R3" s="503"/>
      <c r="S3" s="504"/>
    </row>
    <row r="4" spans="1:21" ht="12.75">
      <c r="A4" s="115" t="s">
        <v>353</v>
      </c>
      <c r="B4" s="130" t="s">
        <v>346</v>
      </c>
      <c r="C4" s="133" t="s">
        <v>347</v>
      </c>
      <c r="D4" s="133" t="s">
        <v>373</v>
      </c>
      <c r="E4" s="115" t="s">
        <v>363</v>
      </c>
      <c r="F4" s="115" t="s">
        <v>378</v>
      </c>
      <c r="G4" s="115" t="s">
        <v>380</v>
      </c>
      <c r="H4" s="115" t="s">
        <v>366</v>
      </c>
      <c r="I4" s="115" t="s">
        <v>857</v>
      </c>
      <c r="J4" s="115" t="s">
        <v>681</v>
      </c>
      <c r="K4" s="115" t="s">
        <v>237</v>
      </c>
      <c r="L4" s="112" t="s">
        <v>365</v>
      </c>
      <c r="M4" s="146" t="s">
        <v>464</v>
      </c>
      <c r="P4" s="116" t="s">
        <v>353</v>
      </c>
      <c r="Q4" s="115" t="s">
        <v>361</v>
      </c>
      <c r="R4" s="115" t="s">
        <v>362</v>
      </c>
      <c r="S4" s="115" t="s">
        <v>168</v>
      </c>
      <c r="T4" s="171" t="s">
        <v>818</v>
      </c>
      <c r="U4" s="171" t="s">
        <v>819</v>
      </c>
    </row>
    <row r="5" spans="1:20" ht="12.75">
      <c r="A5" s="122"/>
      <c r="B5" s="137"/>
      <c r="C5" s="137"/>
      <c r="D5" s="137"/>
      <c r="E5" s="137"/>
      <c r="F5" s="137"/>
      <c r="G5" s="137"/>
      <c r="H5" s="137"/>
      <c r="I5" s="137"/>
      <c r="J5" s="137"/>
      <c r="K5" s="137">
        <v>4922.84</v>
      </c>
      <c r="L5" s="166">
        <f>K5</f>
        <v>4922.84</v>
      </c>
      <c r="M5" s="147"/>
      <c r="P5" s="126">
        <v>36623</v>
      </c>
      <c r="Q5" s="108" t="s">
        <v>364</v>
      </c>
      <c r="R5" s="108" t="s">
        <v>366</v>
      </c>
      <c r="S5" s="121">
        <v>812.25</v>
      </c>
      <c r="T5" s="127">
        <v>36617</v>
      </c>
    </row>
    <row r="6" spans="1:19" ht="12.75">
      <c r="A6" s="125">
        <v>36386</v>
      </c>
      <c r="B6" s="137"/>
      <c r="C6" s="137"/>
      <c r="D6" s="137"/>
      <c r="E6" s="137">
        <v>239.09</v>
      </c>
      <c r="F6" s="137"/>
      <c r="G6" s="137"/>
      <c r="H6" s="137"/>
      <c r="I6" s="137"/>
      <c r="J6" s="137"/>
      <c r="K6" s="137">
        <f aca="true" t="shared" si="0" ref="K6:K40">SUM(B6:J6)</f>
        <v>239.09</v>
      </c>
      <c r="L6" s="166">
        <f>L5+K6</f>
        <v>5161.93</v>
      </c>
      <c r="M6" s="147"/>
      <c r="P6" s="126">
        <v>36640</v>
      </c>
      <c r="Q6" s="108" t="s">
        <v>376</v>
      </c>
      <c r="R6" s="108" t="s">
        <v>366</v>
      </c>
      <c r="S6" s="121">
        <v>41.9</v>
      </c>
    </row>
    <row r="7" spans="1:20" ht="12.75">
      <c r="A7" s="124">
        <v>36414</v>
      </c>
      <c r="B7" s="167"/>
      <c r="C7" s="167"/>
      <c r="D7" s="167"/>
      <c r="E7" s="167">
        <v>717.26</v>
      </c>
      <c r="F7" s="167"/>
      <c r="G7" s="167"/>
      <c r="H7" s="167"/>
      <c r="I7" s="167"/>
      <c r="J7" s="167"/>
      <c r="K7" s="137">
        <f t="shared" si="0"/>
        <v>717.26</v>
      </c>
      <c r="L7" s="168">
        <f>L6+K7</f>
        <v>5879.1900000000005</v>
      </c>
      <c r="M7" s="148"/>
      <c r="P7" s="126">
        <v>36665</v>
      </c>
      <c r="Q7" s="108" t="s">
        <v>374</v>
      </c>
      <c r="R7" s="108" t="s">
        <v>366</v>
      </c>
      <c r="S7" s="121">
        <v>5.89</v>
      </c>
      <c r="T7" s="127">
        <v>36678</v>
      </c>
    </row>
    <row r="8" spans="1:20" ht="12.75">
      <c r="A8" s="124">
        <v>36428</v>
      </c>
      <c r="B8" s="167"/>
      <c r="C8" s="167"/>
      <c r="D8" s="167"/>
      <c r="E8" s="167">
        <v>956.34</v>
      </c>
      <c r="F8" s="167"/>
      <c r="G8" s="167"/>
      <c r="H8" s="167"/>
      <c r="I8" s="167"/>
      <c r="J8" s="167"/>
      <c r="K8" s="137">
        <f t="shared" si="0"/>
        <v>956.34</v>
      </c>
      <c r="L8" s="168">
        <f aca="true" t="shared" si="1" ref="L8:L22">L7+K8</f>
        <v>6835.530000000001</v>
      </c>
      <c r="M8" s="148"/>
      <c r="P8" s="126">
        <v>36668</v>
      </c>
      <c r="Q8" s="108" t="s">
        <v>375</v>
      </c>
      <c r="R8" s="108" t="s">
        <v>366</v>
      </c>
      <c r="S8" s="121">
        <v>1042.55</v>
      </c>
      <c r="T8" s="127">
        <v>36678</v>
      </c>
    </row>
    <row r="9" spans="1:20" ht="12.75">
      <c r="A9" s="124">
        <v>36442</v>
      </c>
      <c r="B9" s="167"/>
      <c r="C9" s="167"/>
      <c r="D9" s="167"/>
      <c r="E9" s="167">
        <v>850.08</v>
      </c>
      <c r="F9" s="167"/>
      <c r="G9" s="167"/>
      <c r="H9" s="167"/>
      <c r="I9" s="167"/>
      <c r="J9" s="167"/>
      <c r="K9" s="137">
        <f t="shared" si="0"/>
        <v>850.08</v>
      </c>
      <c r="L9" s="168">
        <f t="shared" si="1"/>
        <v>7685.610000000001</v>
      </c>
      <c r="M9" s="148"/>
      <c r="P9" s="126">
        <v>36732</v>
      </c>
      <c r="Q9" s="108" t="s">
        <v>379</v>
      </c>
      <c r="R9" s="108" t="s">
        <v>380</v>
      </c>
      <c r="S9" s="121">
        <v>33.25</v>
      </c>
      <c r="T9" s="127">
        <v>36708</v>
      </c>
    </row>
    <row r="10" spans="1:20" ht="12.75">
      <c r="A10" s="124">
        <v>36456</v>
      </c>
      <c r="B10" s="167"/>
      <c r="C10" s="167"/>
      <c r="D10" s="167"/>
      <c r="E10" s="167">
        <v>544.58</v>
      </c>
      <c r="F10" s="167"/>
      <c r="G10" s="167"/>
      <c r="H10" s="167"/>
      <c r="I10" s="167"/>
      <c r="J10" s="167"/>
      <c r="K10" s="137">
        <f t="shared" si="0"/>
        <v>544.58</v>
      </c>
      <c r="L10" s="168">
        <f t="shared" si="1"/>
        <v>8230.19</v>
      </c>
      <c r="M10" s="148"/>
      <c r="P10" s="126">
        <v>36746</v>
      </c>
      <c r="Q10" s="108" t="s">
        <v>381</v>
      </c>
      <c r="R10" s="108" t="s">
        <v>382</v>
      </c>
      <c r="S10" s="121">
        <v>1.6</v>
      </c>
      <c r="T10" s="127">
        <v>36739</v>
      </c>
    </row>
    <row r="11" spans="1:19" ht="12.75">
      <c r="A11" s="124">
        <v>36470</v>
      </c>
      <c r="B11" s="167"/>
      <c r="C11" s="167"/>
      <c r="D11" s="167"/>
      <c r="E11" s="167">
        <v>611</v>
      </c>
      <c r="F11" s="167"/>
      <c r="G11" s="167"/>
      <c r="H11" s="167"/>
      <c r="I11" s="167"/>
      <c r="J11" s="167"/>
      <c r="K11" s="137">
        <f t="shared" si="0"/>
        <v>611</v>
      </c>
      <c r="L11" s="168">
        <f t="shared" si="1"/>
        <v>8841.19</v>
      </c>
      <c r="M11" s="148"/>
      <c r="P11" s="126">
        <v>36776</v>
      </c>
      <c r="Q11" s="108" t="s">
        <v>387</v>
      </c>
      <c r="R11" s="108" t="s">
        <v>387</v>
      </c>
      <c r="S11" s="121">
        <v>1474</v>
      </c>
    </row>
    <row r="12" spans="1:19" ht="12.75">
      <c r="A12" s="124">
        <v>36484</v>
      </c>
      <c r="B12" s="167"/>
      <c r="C12" s="167"/>
      <c r="D12" s="167"/>
      <c r="E12" s="167">
        <v>531.3</v>
      </c>
      <c r="F12" s="167"/>
      <c r="G12" s="167"/>
      <c r="H12" s="167"/>
      <c r="I12" s="167"/>
      <c r="J12" s="167"/>
      <c r="K12" s="137">
        <f t="shared" si="0"/>
        <v>531.3</v>
      </c>
      <c r="L12" s="168">
        <f t="shared" si="1"/>
        <v>9372.49</v>
      </c>
      <c r="M12" s="148"/>
      <c r="P12" s="126">
        <v>36781</v>
      </c>
      <c r="Q12" s="108" t="s">
        <v>383</v>
      </c>
      <c r="R12" s="108" t="s">
        <v>384</v>
      </c>
      <c r="S12" s="121">
        <v>181.37</v>
      </c>
    </row>
    <row r="13" spans="1:19" ht="12.75">
      <c r="A13" s="124">
        <v>36498</v>
      </c>
      <c r="B13" s="167"/>
      <c r="C13" s="167"/>
      <c r="D13" s="167"/>
      <c r="E13" s="167">
        <v>345.35</v>
      </c>
      <c r="F13" s="167"/>
      <c r="G13" s="167"/>
      <c r="H13" s="167"/>
      <c r="I13" s="167"/>
      <c r="J13" s="167"/>
      <c r="K13" s="137">
        <f t="shared" si="0"/>
        <v>345.35</v>
      </c>
      <c r="L13" s="168">
        <f t="shared" si="1"/>
        <v>9717.84</v>
      </c>
      <c r="M13" s="148"/>
      <c r="P13" s="126">
        <v>36791</v>
      </c>
      <c r="Q13" s="108" t="s">
        <v>385</v>
      </c>
      <c r="R13" s="108" t="s">
        <v>386</v>
      </c>
      <c r="S13" s="121">
        <f>1006.7+186.81+33</f>
        <v>1226.51</v>
      </c>
    </row>
    <row r="14" spans="1:20" ht="12.75">
      <c r="A14" s="124">
        <v>36512</v>
      </c>
      <c r="B14" s="167"/>
      <c r="C14" s="167"/>
      <c r="D14" s="167"/>
      <c r="E14" s="167">
        <v>611</v>
      </c>
      <c r="F14" s="167"/>
      <c r="G14" s="167"/>
      <c r="H14" s="167"/>
      <c r="I14" s="167"/>
      <c r="J14" s="167"/>
      <c r="K14" s="137">
        <f t="shared" si="0"/>
        <v>611</v>
      </c>
      <c r="L14" s="168">
        <f t="shared" si="1"/>
        <v>10328.84</v>
      </c>
      <c r="M14" s="148"/>
      <c r="P14" s="126">
        <v>36796</v>
      </c>
      <c r="Q14" s="108" t="s">
        <v>374</v>
      </c>
      <c r="R14" s="135" t="s">
        <v>384</v>
      </c>
      <c r="S14" s="137">
        <f>93.5+78.38+30.86+25.87</f>
        <v>228.61</v>
      </c>
      <c r="T14" s="127">
        <v>36800</v>
      </c>
    </row>
    <row r="15" spans="1:20" ht="12.75">
      <c r="A15" s="124">
        <v>36526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37">
        <f t="shared" si="0"/>
        <v>0</v>
      </c>
      <c r="L15" s="168">
        <f t="shared" si="1"/>
        <v>10328.84</v>
      </c>
      <c r="M15" s="148"/>
      <c r="P15" s="126">
        <v>36797</v>
      </c>
      <c r="Q15" s="108" t="s">
        <v>388</v>
      </c>
      <c r="R15" s="108" t="s">
        <v>384</v>
      </c>
      <c r="S15" s="121">
        <f>60.4+19.93</f>
        <v>80.33</v>
      </c>
      <c r="T15" s="127">
        <v>36800</v>
      </c>
    </row>
    <row r="16" spans="1:20" ht="12.75">
      <c r="A16" s="124">
        <v>36540</v>
      </c>
      <c r="B16" s="167"/>
      <c r="C16" s="167"/>
      <c r="D16" s="167"/>
      <c r="E16" s="167">
        <v>504.74</v>
      </c>
      <c r="F16" s="167"/>
      <c r="G16" s="167"/>
      <c r="H16" s="167"/>
      <c r="I16" s="167"/>
      <c r="J16" s="167"/>
      <c r="K16" s="137">
        <f t="shared" si="0"/>
        <v>504.74</v>
      </c>
      <c r="L16" s="168">
        <f t="shared" si="1"/>
        <v>10833.58</v>
      </c>
      <c r="M16" s="128">
        <v>36557</v>
      </c>
      <c r="N16" s="40" t="s">
        <v>68</v>
      </c>
      <c r="O16" s="40"/>
      <c r="P16" s="126">
        <v>36805</v>
      </c>
      <c r="Q16" s="108" t="s">
        <v>389</v>
      </c>
      <c r="R16" s="108"/>
      <c r="S16" s="137">
        <v>-15.6</v>
      </c>
      <c r="T16" s="127">
        <v>36800</v>
      </c>
    </row>
    <row r="17" spans="1:20" ht="12.75">
      <c r="A17" s="124">
        <v>36554</v>
      </c>
      <c r="B17" s="167"/>
      <c r="C17" s="167"/>
      <c r="D17" s="167"/>
      <c r="E17" s="167">
        <v>557.87</v>
      </c>
      <c r="F17" s="167"/>
      <c r="G17" s="167"/>
      <c r="H17" s="167"/>
      <c r="I17" s="167"/>
      <c r="J17" s="167"/>
      <c r="K17" s="137">
        <f t="shared" si="0"/>
        <v>557.87</v>
      </c>
      <c r="L17" s="168">
        <f t="shared" si="1"/>
        <v>11391.45</v>
      </c>
      <c r="M17" s="128">
        <v>36557</v>
      </c>
      <c r="N17" s="40" t="s">
        <v>68</v>
      </c>
      <c r="O17" s="40"/>
      <c r="P17" s="126">
        <v>36838</v>
      </c>
      <c r="Q17" s="108" t="s">
        <v>676</v>
      </c>
      <c r="R17" s="108" t="s">
        <v>386</v>
      </c>
      <c r="S17" s="121">
        <f>10.65+1075+944.7+3.51+33+33</f>
        <v>2099.86</v>
      </c>
      <c r="T17" s="127">
        <v>36831</v>
      </c>
    </row>
    <row r="18" spans="1:20" ht="12.75">
      <c r="A18" s="124">
        <v>36568</v>
      </c>
      <c r="B18" s="167"/>
      <c r="C18" s="167"/>
      <c r="D18" s="167"/>
      <c r="E18" s="167">
        <v>876.65</v>
      </c>
      <c r="F18" s="167"/>
      <c r="G18" s="167"/>
      <c r="H18" s="167"/>
      <c r="I18" s="167"/>
      <c r="J18" s="167"/>
      <c r="K18" s="137">
        <f t="shared" si="0"/>
        <v>876.65</v>
      </c>
      <c r="L18" s="168">
        <f t="shared" si="1"/>
        <v>12268.1</v>
      </c>
      <c r="M18" s="128">
        <v>36586</v>
      </c>
      <c r="N18" s="40" t="s">
        <v>68</v>
      </c>
      <c r="O18" s="40"/>
      <c r="P18" s="126">
        <v>36844</v>
      </c>
      <c r="Q18" s="108" t="s">
        <v>390</v>
      </c>
      <c r="R18" s="108" t="s">
        <v>382</v>
      </c>
      <c r="S18" s="121">
        <f>5.69+985.64+26.11+33+8.62</f>
        <v>1059.06</v>
      </c>
      <c r="T18" s="127">
        <v>36831</v>
      </c>
    </row>
    <row r="19" spans="1:20" ht="12.75">
      <c r="A19" s="124">
        <v>36582</v>
      </c>
      <c r="B19" s="167"/>
      <c r="C19" s="167"/>
      <c r="D19" s="167"/>
      <c r="E19" s="167">
        <v>982.91</v>
      </c>
      <c r="F19" s="167"/>
      <c r="G19" s="167"/>
      <c r="H19" s="167">
        <v>1293.5</v>
      </c>
      <c r="I19" s="167"/>
      <c r="J19" s="167"/>
      <c r="K19" s="137">
        <f t="shared" si="0"/>
        <v>2276.41</v>
      </c>
      <c r="L19" s="168">
        <f t="shared" si="1"/>
        <v>14544.51</v>
      </c>
      <c r="M19" s="128">
        <v>36586</v>
      </c>
      <c r="N19" s="40" t="s">
        <v>68</v>
      </c>
      <c r="O19" s="40"/>
      <c r="P19" s="126">
        <v>36875</v>
      </c>
      <c r="Q19" s="108" t="s">
        <v>677</v>
      </c>
      <c r="R19" s="108" t="s">
        <v>384</v>
      </c>
      <c r="S19" s="121">
        <f>1070+13.38</f>
        <v>1083.38</v>
      </c>
      <c r="T19" s="127">
        <v>36861</v>
      </c>
    </row>
    <row r="20" spans="1:20" ht="12.75">
      <c r="A20" s="124">
        <v>36596</v>
      </c>
      <c r="B20" s="167"/>
      <c r="C20" s="167"/>
      <c r="D20" s="167"/>
      <c r="E20" s="167">
        <v>1195.43</v>
      </c>
      <c r="F20" s="167"/>
      <c r="G20" s="167"/>
      <c r="H20" s="167">
        <v>2388</v>
      </c>
      <c r="I20" s="167"/>
      <c r="J20" s="167"/>
      <c r="K20" s="137">
        <f t="shared" si="0"/>
        <v>3583.4300000000003</v>
      </c>
      <c r="L20" s="168">
        <f t="shared" si="1"/>
        <v>18127.940000000002</v>
      </c>
      <c r="M20" s="128">
        <v>36617</v>
      </c>
      <c r="N20" s="40" t="s">
        <v>60</v>
      </c>
      <c r="O20" s="40"/>
      <c r="P20" s="126">
        <v>36875</v>
      </c>
      <c r="Q20" s="108" t="s">
        <v>669</v>
      </c>
      <c r="R20" s="108"/>
      <c r="S20" s="121">
        <f>33+4.42</f>
        <v>37.42</v>
      </c>
      <c r="T20" s="127">
        <v>36861</v>
      </c>
    </row>
    <row r="21" spans="1:21" ht="12.75">
      <c r="A21" s="124">
        <v>36610</v>
      </c>
      <c r="B21" s="167"/>
      <c r="C21" s="167"/>
      <c r="D21" s="167"/>
      <c r="E21" s="167">
        <v>345.35</v>
      </c>
      <c r="F21" s="167"/>
      <c r="G21" s="167"/>
      <c r="H21" s="167">
        <v>1393</v>
      </c>
      <c r="I21" s="167"/>
      <c r="J21" s="167"/>
      <c r="K21" s="137">
        <f t="shared" si="0"/>
        <v>1738.35</v>
      </c>
      <c r="L21" s="168">
        <f t="shared" si="1"/>
        <v>19866.29</v>
      </c>
      <c r="M21" s="128">
        <v>36617</v>
      </c>
      <c r="N21" s="40" t="s">
        <v>60</v>
      </c>
      <c r="O21" s="40"/>
      <c r="P21" s="126">
        <v>36881</v>
      </c>
      <c r="Q21" s="108" t="s">
        <v>678</v>
      </c>
      <c r="R21" s="108"/>
      <c r="S21" s="121">
        <f>11.95+36.7+765+76+5.64+6.08+25+3.94+12.11</f>
        <v>942.4200000000001</v>
      </c>
      <c r="T21" s="127">
        <v>36892</v>
      </c>
      <c r="U21" s="172"/>
    </row>
    <row r="22" spans="1:21" ht="12.75">
      <c r="A22" s="124">
        <v>36624</v>
      </c>
      <c r="B22" s="167"/>
      <c r="C22" s="167"/>
      <c r="D22" s="167"/>
      <c r="E22" s="167">
        <v>1647.03</v>
      </c>
      <c r="F22" s="167"/>
      <c r="G22" s="167"/>
      <c r="H22" s="167">
        <v>1442.75</v>
      </c>
      <c r="I22" s="167"/>
      <c r="J22" s="167"/>
      <c r="K22" s="137">
        <f t="shared" si="0"/>
        <v>3089.7799999999997</v>
      </c>
      <c r="L22" s="168">
        <f t="shared" si="1"/>
        <v>22956.07</v>
      </c>
      <c r="M22" s="128">
        <v>36647</v>
      </c>
      <c r="P22" s="126">
        <v>36881</v>
      </c>
      <c r="Q22" s="108" t="s">
        <v>669</v>
      </c>
      <c r="R22" s="108"/>
      <c r="S22" s="121">
        <v>33</v>
      </c>
      <c r="T22" s="127">
        <v>36892</v>
      </c>
      <c r="U22" s="113"/>
    </row>
    <row r="23" spans="1:21" ht="12.75">
      <c r="A23" s="124">
        <v>36638</v>
      </c>
      <c r="B23" s="167"/>
      <c r="C23" s="167"/>
      <c r="D23" s="167"/>
      <c r="E23" s="167">
        <v>796.95</v>
      </c>
      <c r="F23" s="167"/>
      <c r="G23" s="167"/>
      <c r="H23" s="167">
        <v>1368.13</v>
      </c>
      <c r="I23" s="167"/>
      <c r="J23" s="167"/>
      <c r="K23" s="137">
        <f t="shared" si="0"/>
        <v>2165.08</v>
      </c>
      <c r="L23" s="168">
        <f>L22+K23</f>
        <v>25121.15</v>
      </c>
      <c r="M23" s="128">
        <v>36647</v>
      </c>
      <c r="P23" s="126">
        <v>36899</v>
      </c>
      <c r="Q23" s="135" t="s">
        <v>680</v>
      </c>
      <c r="R23" t="s">
        <v>373</v>
      </c>
      <c r="S23" s="121">
        <f>120+8.03</f>
        <v>128.03</v>
      </c>
      <c r="T23" s="127">
        <v>36892</v>
      </c>
      <c r="U23" s="113"/>
    </row>
    <row r="24" spans="1:21" ht="12.75">
      <c r="A24" s="124">
        <v>36652</v>
      </c>
      <c r="B24" s="167"/>
      <c r="C24" s="167"/>
      <c r="D24" s="167"/>
      <c r="E24" s="167">
        <v>584.43</v>
      </c>
      <c r="F24" s="167"/>
      <c r="G24" s="167"/>
      <c r="H24" s="167">
        <v>149.25</v>
      </c>
      <c r="I24" s="167"/>
      <c r="J24" s="167"/>
      <c r="K24" s="137">
        <f t="shared" si="0"/>
        <v>733.68</v>
      </c>
      <c r="L24" s="168">
        <f aca="true" t="shared" si="2" ref="L24:L89">L23+K24</f>
        <v>25854.83</v>
      </c>
      <c r="M24" s="128">
        <v>36678</v>
      </c>
      <c r="P24" s="126">
        <v>36899</v>
      </c>
      <c r="Q24" s="135" t="s">
        <v>669</v>
      </c>
      <c r="R24" t="s">
        <v>373</v>
      </c>
      <c r="S24" s="121">
        <v>33</v>
      </c>
      <c r="T24" s="127">
        <v>36892</v>
      </c>
      <c r="U24" s="117">
        <f>SUM(S23:S24)</f>
        <v>161.03</v>
      </c>
    </row>
    <row r="25" spans="1:21" ht="12.75">
      <c r="A25" s="124">
        <v>36666</v>
      </c>
      <c r="B25" s="167"/>
      <c r="C25" s="167"/>
      <c r="D25" s="167"/>
      <c r="E25" s="167"/>
      <c r="F25" s="167"/>
      <c r="G25" s="167"/>
      <c r="H25" s="167">
        <v>796</v>
      </c>
      <c r="I25" s="167"/>
      <c r="J25" s="167"/>
      <c r="K25" s="137">
        <f t="shared" si="0"/>
        <v>796</v>
      </c>
      <c r="L25" s="168">
        <f t="shared" si="2"/>
        <v>26650.83</v>
      </c>
      <c r="M25" s="128">
        <v>36678</v>
      </c>
      <c r="P25" s="126">
        <v>36902</v>
      </c>
      <c r="Q25" s="108" t="s">
        <v>679</v>
      </c>
      <c r="R25" s="108" t="s">
        <v>347</v>
      </c>
      <c r="S25" s="121">
        <f>1146.5+15.2+2.25+8.64</f>
        <v>1172.5900000000001</v>
      </c>
      <c r="T25" s="127">
        <v>36892</v>
      </c>
      <c r="U25" s="172"/>
    </row>
    <row r="26" spans="1:21" ht="12.75">
      <c r="A26" s="124">
        <v>36680</v>
      </c>
      <c r="B26" s="167"/>
      <c r="C26" s="167"/>
      <c r="D26" s="167"/>
      <c r="E26" s="167"/>
      <c r="F26" s="167"/>
      <c r="G26" s="167"/>
      <c r="H26" s="167">
        <v>398</v>
      </c>
      <c r="I26" s="167"/>
      <c r="J26" s="167"/>
      <c r="K26" s="137">
        <f t="shared" si="0"/>
        <v>398</v>
      </c>
      <c r="L26" s="168">
        <f t="shared" si="2"/>
        <v>27048.83</v>
      </c>
      <c r="M26" s="128">
        <v>36678</v>
      </c>
      <c r="P26" s="126">
        <v>36902</v>
      </c>
      <c r="Q26" s="108" t="s">
        <v>669</v>
      </c>
      <c r="R26" s="108" t="s">
        <v>347</v>
      </c>
      <c r="S26" s="121">
        <f>33+5.02</f>
        <v>38.019999999999996</v>
      </c>
      <c r="T26" s="127">
        <v>36892</v>
      </c>
      <c r="U26" s="117">
        <f>S25+S26</f>
        <v>1210.6100000000001</v>
      </c>
    </row>
    <row r="27" spans="1:20" ht="12.75">
      <c r="A27" s="124">
        <v>36694</v>
      </c>
      <c r="B27" s="167">
        <v>1748.4</v>
      </c>
      <c r="C27" s="167">
        <v>137.97</v>
      </c>
      <c r="D27" s="167"/>
      <c r="E27" s="167">
        <v>690.69</v>
      </c>
      <c r="F27" s="167"/>
      <c r="G27" s="167"/>
      <c r="H27" s="167"/>
      <c r="I27" s="167"/>
      <c r="J27" s="167"/>
      <c r="K27" s="137">
        <f t="shared" si="0"/>
        <v>2577.0600000000004</v>
      </c>
      <c r="L27" s="168">
        <f t="shared" si="2"/>
        <v>29625.890000000003</v>
      </c>
      <c r="M27" s="128">
        <v>36678</v>
      </c>
      <c r="P27" s="126">
        <v>36922</v>
      </c>
      <c r="Q27" s="108" t="s">
        <v>678</v>
      </c>
      <c r="R27" s="108" t="s">
        <v>682</v>
      </c>
      <c r="S27" s="121">
        <f>62.5+1144+3.64+3.35</f>
        <v>1213.49</v>
      </c>
      <c r="T27" s="127">
        <v>36923</v>
      </c>
    </row>
    <row r="28" spans="1:20" ht="12.75">
      <c r="A28" s="124">
        <v>36708</v>
      </c>
      <c r="B28" s="167">
        <v>1748.4</v>
      </c>
      <c r="C28" s="167">
        <v>135.45</v>
      </c>
      <c r="D28" s="167"/>
      <c r="E28" s="167">
        <v>371.91</v>
      </c>
      <c r="F28" s="167">
        <v>60</v>
      </c>
      <c r="G28" s="167"/>
      <c r="H28" s="167"/>
      <c r="I28" s="167"/>
      <c r="J28" s="167"/>
      <c r="K28" s="137">
        <f t="shared" si="0"/>
        <v>2315.76</v>
      </c>
      <c r="L28" s="168">
        <f t="shared" si="2"/>
        <v>31941.65</v>
      </c>
      <c r="M28" s="128">
        <v>36708</v>
      </c>
      <c r="P28" s="126">
        <v>36922</v>
      </c>
      <c r="Q28" s="108" t="s">
        <v>669</v>
      </c>
      <c r="R28" s="108"/>
      <c r="S28" s="121">
        <f>20.63+33</f>
        <v>53.629999999999995</v>
      </c>
      <c r="T28" s="127">
        <v>36923</v>
      </c>
    </row>
    <row r="29" spans="1:20" ht="12.75">
      <c r="A29" s="124">
        <v>36722</v>
      </c>
      <c r="B29" s="167">
        <v>1616.56</v>
      </c>
      <c r="C29" s="167">
        <v>90.3</v>
      </c>
      <c r="D29" s="167"/>
      <c r="E29" s="167">
        <v>680.26</v>
      </c>
      <c r="F29" s="167"/>
      <c r="G29" s="167"/>
      <c r="H29" s="167">
        <v>49.49</v>
      </c>
      <c r="I29" s="167"/>
      <c r="J29" s="167"/>
      <c r="K29" s="137">
        <f t="shared" si="0"/>
        <v>2436.6099999999997</v>
      </c>
      <c r="L29" s="168">
        <f t="shared" si="2"/>
        <v>34378.26</v>
      </c>
      <c r="M29" s="128">
        <v>36708</v>
      </c>
      <c r="P29" s="126">
        <v>36923</v>
      </c>
      <c r="Q29" s="108" t="s">
        <v>678</v>
      </c>
      <c r="R29" s="108" t="s">
        <v>683</v>
      </c>
      <c r="S29" s="121">
        <f>71.15+384+9.7+17.79</f>
        <v>482.64</v>
      </c>
      <c r="T29" s="127">
        <v>36923</v>
      </c>
    </row>
    <row r="30" spans="1:20" ht="12.75">
      <c r="A30" s="124">
        <v>36736</v>
      </c>
      <c r="B30" s="167"/>
      <c r="C30" s="167">
        <v>90.3</v>
      </c>
      <c r="D30" s="167"/>
      <c r="E30" s="167"/>
      <c r="F30" s="167"/>
      <c r="G30" s="167"/>
      <c r="H30" s="167"/>
      <c r="I30" s="167"/>
      <c r="J30" s="167"/>
      <c r="K30" s="137">
        <f t="shared" si="0"/>
        <v>90.3</v>
      </c>
      <c r="L30" s="168">
        <f t="shared" si="2"/>
        <v>34468.560000000005</v>
      </c>
      <c r="M30" s="128">
        <v>36708</v>
      </c>
      <c r="P30" s="126">
        <v>36923</v>
      </c>
      <c r="Q30" s="108" t="s">
        <v>669</v>
      </c>
      <c r="R30" s="108"/>
      <c r="S30" s="121">
        <f>23.48+33</f>
        <v>56.480000000000004</v>
      </c>
      <c r="T30" s="127">
        <v>36923</v>
      </c>
    </row>
    <row r="31" spans="1:20" ht="12.75">
      <c r="A31" s="124">
        <v>36750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37">
        <f t="shared" si="0"/>
        <v>0</v>
      </c>
      <c r="L31" s="168">
        <f t="shared" si="2"/>
        <v>34468.560000000005</v>
      </c>
      <c r="M31" s="148"/>
      <c r="P31" s="126">
        <v>36924</v>
      </c>
      <c r="Q31" s="108" t="s">
        <v>678</v>
      </c>
      <c r="R31" s="108" t="s">
        <v>347</v>
      </c>
      <c r="S31" s="121">
        <f>4.67+0.95+22.24+0.1+3.95+1.19+2.14+0.79</f>
        <v>36.03</v>
      </c>
      <c r="T31" s="127">
        <v>36923</v>
      </c>
    </row>
    <row r="32" spans="1:20" ht="12.75">
      <c r="A32" s="124">
        <v>36764</v>
      </c>
      <c r="B32" s="167">
        <v>1469.6</v>
      </c>
      <c r="C32" s="167"/>
      <c r="D32" s="167"/>
      <c r="E32" s="167"/>
      <c r="F32" s="167"/>
      <c r="G32" s="167"/>
      <c r="H32" s="167"/>
      <c r="I32" s="167"/>
      <c r="J32" s="167"/>
      <c r="K32" s="137">
        <f t="shared" si="0"/>
        <v>1469.6</v>
      </c>
      <c r="L32" s="168">
        <f t="shared" si="2"/>
        <v>35938.16</v>
      </c>
      <c r="M32" s="128">
        <v>36770</v>
      </c>
      <c r="P32" s="126">
        <v>36945</v>
      </c>
      <c r="Q32" s="108" t="s">
        <v>678</v>
      </c>
      <c r="R32" s="108" t="s">
        <v>683</v>
      </c>
      <c r="S32" s="121">
        <v>5480.96</v>
      </c>
      <c r="T32" s="127">
        <v>36923</v>
      </c>
    </row>
    <row r="33" spans="1:20" ht="12.75">
      <c r="A33" s="124">
        <v>36778</v>
      </c>
      <c r="B33" s="167">
        <v>2057.44</v>
      </c>
      <c r="C33" s="167">
        <v>45.15</v>
      </c>
      <c r="D33" s="167">
        <v>810.4</v>
      </c>
      <c r="E33" s="167"/>
      <c r="F33" s="167"/>
      <c r="G33" s="167"/>
      <c r="H33" s="167"/>
      <c r="I33" s="167"/>
      <c r="J33" s="167"/>
      <c r="K33" s="137">
        <f t="shared" si="0"/>
        <v>2912.9900000000002</v>
      </c>
      <c r="L33" s="168">
        <f t="shared" si="2"/>
        <v>38851.15</v>
      </c>
      <c r="M33" s="128">
        <v>36861</v>
      </c>
      <c r="N33" s="172"/>
      <c r="O33" s="184"/>
      <c r="P33" s="126">
        <v>36945</v>
      </c>
      <c r="Q33" s="108" t="s">
        <v>389</v>
      </c>
      <c r="R33" s="108"/>
      <c r="S33" s="121">
        <v>178.77</v>
      </c>
      <c r="T33" s="127">
        <v>36923</v>
      </c>
    </row>
    <row r="34" spans="1:20" ht="12.75">
      <c r="A34" s="124">
        <v>36792</v>
      </c>
      <c r="B34" s="167">
        <v>2057.44</v>
      </c>
      <c r="C34" s="167">
        <v>225.75</v>
      </c>
      <c r="D34" s="167">
        <v>2228.6</v>
      </c>
      <c r="E34" s="167"/>
      <c r="F34" s="167"/>
      <c r="G34" s="167"/>
      <c r="H34" s="167"/>
      <c r="I34" s="167"/>
      <c r="J34" s="167"/>
      <c r="K34" s="137">
        <f t="shared" si="0"/>
        <v>4511.79</v>
      </c>
      <c r="L34" s="168">
        <f t="shared" si="2"/>
        <v>43362.94</v>
      </c>
      <c r="M34" s="128">
        <v>36861</v>
      </c>
      <c r="N34" s="173">
        <f>K33+K34</f>
        <v>7424.780000000001</v>
      </c>
      <c r="O34" s="185"/>
      <c r="P34" s="126">
        <v>36945</v>
      </c>
      <c r="Q34" s="108" t="s">
        <v>669</v>
      </c>
      <c r="R34" s="108"/>
      <c r="S34" s="121">
        <v>24.3</v>
      </c>
      <c r="T34" s="127">
        <v>36923</v>
      </c>
    </row>
    <row r="35" spans="1:20" ht="12.75">
      <c r="A35" s="124">
        <v>36806</v>
      </c>
      <c r="B35" s="167">
        <v>1763.52</v>
      </c>
      <c r="C35" s="167"/>
      <c r="D35" s="167">
        <v>1013</v>
      </c>
      <c r="E35" s="167"/>
      <c r="F35" s="167"/>
      <c r="G35" s="167"/>
      <c r="H35" s="167"/>
      <c r="I35" s="167"/>
      <c r="J35" s="167"/>
      <c r="K35" s="137">
        <f t="shared" si="0"/>
        <v>2776.52</v>
      </c>
      <c r="L35" s="168">
        <f t="shared" si="2"/>
        <v>46139.46</v>
      </c>
      <c r="M35" s="128">
        <v>36861</v>
      </c>
      <c r="N35" s="172"/>
      <c r="O35" s="184"/>
      <c r="P35" s="126">
        <v>36952</v>
      </c>
      <c r="Q35" s="108" t="s">
        <v>678</v>
      </c>
      <c r="R35" s="108" t="s">
        <v>373</v>
      </c>
      <c r="S35" s="121">
        <v>2.31</v>
      </c>
      <c r="T35" s="127">
        <v>36951</v>
      </c>
    </row>
    <row r="36" spans="1:20" ht="12.75">
      <c r="A36" s="124">
        <v>36820</v>
      </c>
      <c r="B36" s="167">
        <v>2351.36</v>
      </c>
      <c r="C36" s="167"/>
      <c r="D36" s="167">
        <v>810.4</v>
      </c>
      <c r="E36" s="167">
        <v>1251.66</v>
      </c>
      <c r="F36" s="167"/>
      <c r="G36" s="167"/>
      <c r="H36" s="167"/>
      <c r="I36" s="167"/>
      <c r="J36" s="167"/>
      <c r="K36" s="137">
        <f t="shared" si="0"/>
        <v>4413.42</v>
      </c>
      <c r="L36" s="168">
        <f t="shared" si="2"/>
        <v>50552.88</v>
      </c>
      <c r="M36" s="128">
        <v>36861</v>
      </c>
      <c r="N36" s="173">
        <f>K35+K36</f>
        <v>7189.9400000000005</v>
      </c>
      <c r="O36" s="185"/>
      <c r="P36" s="126">
        <v>36980</v>
      </c>
      <c r="Q36" s="108" t="s">
        <v>678</v>
      </c>
      <c r="R36" s="108" t="s">
        <v>373</v>
      </c>
      <c r="S36" s="121">
        <f>3.71+3.06+0.15+0.17+13.65+92.33+4.18+5.66+66.5</f>
        <v>189.41</v>
      </c>
      <c r="T36" s="127">
        <v>36982</v>
      </c>
    </row>
    <row r="37" spans="1:20" ht="12.75">
      <c r="A37" s="165">
        <v>36834</v>
      </c>
      <c r="B37" s="136">
        <v>2498.32</v>
      </c>
      <c r="C37" s="167"/>
      <c r="D37" s="136">
        <v>557.15</v>
      </c>
      <c r="E37" s="167">
        <v>761.88</v>
      </c>
      <c r="F37" s="167"/>
      <c r="G37" s="167"/>
      <c r="H37" s="167"/>
      <c r="I37" s="167"/>
      <c r="J37" s="167"/>
      <c r="K37" s="137">
        <f t="shared" si="0"/>
        <v>3817.3500000000004</v>
      </c>
      <c r="L37" s="168">
        <f t="shared" si="2"/>
        <v>54370.229999999996</v>
      </c>
      <c r="M37" s="128">
        <v>36892</v>
      </c>
      <c r="N37" s="172"/>
      <c r="O37" s="184"/>
      <c r="P37" s="126">
        <v>36985</v>
      </c>
      <c r="Q37" s="108" t="s">
        <v>389</v>
      </c>
      <c r="R37" s="108"/>
      <c r="S37" s="121">
        <v>8.66</v>
      </c>
      <c r="T37" s="127">
        <v>36982</v>
      </c>
    </row>
    <row r="38" spans="1:20" ht="12.75">
      <c r="A38" s="124">
        <v>36848</v>
      </c>
      <c r="B38" s="167">
        <v>2438.4</v>
      </c>
      <c r="C38" s="167"/>
      <c r="D38" s="167">
        <v>2245.46</v>
      </c>
      <c r="E38" s="167"/>
      <c r="F38" s="167"/>
      <c r="G38" s="167"/>
      <c r="H38" s="167"/>
      <c r="I38" s="167"/>
      <c r="J38" s="167"/>
      <c r="K38" s="137">
        <f t="shared" si="0"/>
        <v>4683.860000000001</v>
      </c>
      <c r="L38" s="168">
        <f t="shared" si="2"/>
        <v>59054.09</v>
      </c>
      <c r="M38" s="128">
        <v>36892</v>
      </c>
      <c r="N38" s="113"/>
      <c r="O38" s="184"/>
      <c r="P38" s="126">
        <v>36985</v>
      </c>
      <c r="Q38" s="108" t="s">
        <v>669</v>
      </c>
      <c r="R38" s="108"/>
      <c r="S38" s="121">
        <v>21.95</v>
      </c>
      <c r="T38" s="127">
        <v>36982</v>
      </c>
    </row>
    <row r="39" spans="1:20" ht="12.75">
      <c r="A39" s="124">
        <v>36862</v>
      </c>
      <c r="B39" s="167">
        <v>2743.2</v>
      </c>
      <c r="C39" s="167"/>
      <c r="D39" s="167">
        <v>1149.96</v>
      </c>
      <c r="E39" s="167"/>
      <c r="F39" s="167"/>
      <c r="G39" s="167"/>
      <c r="H39" s="167"/>
      <c r="I39" s="167"/>
      <c r="J39" s="167"/>
      <c r="K39" s="137">
        <f t="shared" si="0"/>
        <v>3893.16</v>
      </c>
      <c r="L39" s="168">
        <f t="shared" si="2"/>
        <v>62947.25</v>
      </c>
      <c r="M39" s="128">
        <v>36892</v>
      </c>
      <c r="N39" s="173">
        <f>K37+K38+K39</f>
        <v>12394.37</v>
      </c>
      <c r="O39" s="185"/>
      <c r="P39" s="126">
        <v>36986</v>
      </c>
      <c r="Q39" s="108" t="s">
        <v>858</v>
      </c>
      <c r="R39" s="108"/>
      <c r="S39" s="121">
        <f>118.79+172+145.5</f>
        <v>436.29</v>
      </c>
      <c r="T39" s="127">
        <v>36982</v>
      </c>
    </row>
    <row r="40" spans="1:20" ht="12.75">
      <c r="A40" s="124">
        <v>36876</v>
      </c>
      <c r="B40" s="167">
        <v>2438.4</v>
      </c>
      <c r="C40" s="167"/>
      <c r="D40" s="167">
        <v>2190.4</v>
      </c>
      <c r="E40" s="167"/>
      <c r="F40" s="167"/>
      <c r="G40" s="167"/>
      <c r="H40" s="167"/>
      <c r="I40" s="167"/>
      <c r="J40" s="167"/>
      <c r="K40" s="137">
        <f t="shared" si="0"/>
        <v>4628.8</v>
      </c>
      <c r="L40" s="168">
        <f t="shared" si="2"/>
        <v>67576.05</v>
      </c>
      <c r="M40" s="128">
        <v>36892</v>
      </c>
      <c r="N40" s="172"/>
      <c r="O40" s="184"/>
      <c r="P40" s="126">
        <v>36986</v>
      </c>
      <c r="Q40" s="108" t="s">
        <v>389</v>
      </c>
      <c r="R40" s="108"/>
      <c r="S40" s="121">
        <f>13.19+10.99</f>
        <v>24.18</v>
      </c>
      <c r="T40" s="127">
        <v>36982</v>
      </c>
    </row>
    <row r="41" spans="1:20" ht="12.75">
      <c r="A41" s="124">
        <v>36890</v>
      </c>
      <c r="B41" s="167">
        <v>1219.2</v>
      </c>
      <c r="C41" s="167"/>
      <c r="D41" s="167">
        <v>219.04</v>
      </c>
      <c r="E41" s="167"/>
      <c r="F41" s="167"/>
      <c r="G41" s="167"/>
      <c r="H41" s="167"/>
      <c r="I41" s="167"/>
      <c r="J41" s="167"/>
      <c r="K41" s="137">
        <f aca="true" t="shared" si="3" ref="K41:K61">SUM(B41:J41)</f>
        <v>1438.24</v>
      </c>
      <c r="L41" s="168">
        <f t="shared" si="2"/>
        <v>69014.29000000001</v>
      </c>
      <c r="M41" s="128">
        <v>36892</v>
      </c>
      <c r="N41" s="173">
        <f>K40+K41</f>
        <v>6067.04</v>
      </c>
      <c r="O41" s="185"/>
      <c r="P41" s="126">
        <v>36986</v>
      </c>
      <c r="Q41" s="108" t="s">
        <v>669</v>
      </c>
      <c r="R41" s="108"/>
      <c r="S41" s="121">
        <v>99</v>
      </c>
      <c r="T41" s="127">
        <v>36982</v>
      </c>
    </row>
    <row r="42" spans="1:20" ht="12.75">
      <c r="A42" s="124">
        <v>36904</v>
      </c>
      <c r="B42" s="167">
        <v>2133.6</v>
      </c>
      <c r="C42" s="167"/>
      <c r="D42" s="167">
        <v>2354.68</v>
      </c>
      <c r="E42" s="167"/>
      <c r="F42" s="167"/>
      <c r="G42" s="167"/>
      <c r="H42" s="167"/>
      <c r="I42" s="167"/>
      <c r="J42" s="167"/>
      <c r="K42" s="137">
        <f t="shared" si="3"/>
        <v>4488.28</v>
      </c>
      <c r="L42" s="168">
        <f t="shared" si="2"/>
        <v>73502.57</v>
      </c>
      <c r="M42" s="128">
        <v>36892</v>
      </c>
      <c r="N42" s="136">
        <f>K42</f>
        <v>4488.28</v>
      </c>
      <c r="O42" s="136"/>
      <c r="P42" s="126">
        <v>36987</v>
      </c>
      <c r="Q42" s="108" t="s">
        <v>678</v>
      </c>
      <c r="R42" s="108" t="s">
        <v>859</v>
      </c>
      <c r="S42" s="121">
        <f>110+10+36</f>
        <v>156</v>
      </c>
      <c r="T42" s="127">
        <v>36982</v>
      </c>
    </row>
    <row r="43" spans="1:20" ht="12.75">
      <c r="A43" s="124">
        <v>36918</v>
      </c>
      <c r="B43" s="167">
        <v>3048</v>
      </c>
      <c r="C43" s="167">
        <v>194.44</v>
      </c>
      <c r="D43" s="167">
        <v>2847.52</v>
      </c>
      <c r="E43" s="167">
        <v>761.88</v>
      </c>
      <c r="F43" s="167"/>
      <c r="G43" s="167"/>
      <c r="H43" s="167"/>
      <c r="I43" s="167"/>
      <c r="J43" s="167"/>
      <c r="K43" s="137">
        <f>SUM(B43:J43)</f>
        <v>6851.84</v>
      </c>
      <c r="L43" s="168">
        <f t="shared" si="2"/>
        <v>80354.41</v>
      </c>
      <c r="M43" s="128">
        <v>36892</v>
      </c>
      <c r="N43" s="136">
        <f>K43</f>
        <v>6851.84</v>
      </c>
      <c r="O43" s="136"/>
      <c r="P43" s="126">
        <v>36987</v>
      </c>
      <c r="Q43" s="108" t="s">
        <v>862</v>
      </c>
      <c r="R43" s="108" t="s">
        <v>357</v>
      </c>
      <c r="S43" s="121">
        <f>949+139.9+24.95</f>
        <v>1113.8500000000001</v>
      </c>
      <c r="T43" s="127">
        <v>36982</v>
      </c>
    </row>
    <row r="44" spans="1:20" ht="12.75">
      <c r="A44" s="124">
        <v>36918</v>
      </c>
      <c r="B44" s="167"/>
      <c r="C44" s="167"/>
      <c r="D44" s="167"/>
      <c r="E44" s="167"/>
      <c r="F44" s="167"/>
      <c r="G44" s="167"/>
      <c r="H44" s="167"/>
      <c r="I44" s="167"/>
      <c r="J44" s="167">
        <v>136.68</v>
      </c>
      <c r="K44" s="137">
        <f>SUM(B44:J44)</f>
        <v>136.68</v>
      </c>
      <c r="L44" s="168">
        <f t="shared" si="2"/>
        <v>80491.09</v>
      </c>
      <c r="M44" s="128">
        <v>36892</v>
      </c>
      <c r="N44" s="136">
        <f>J44</f>
        <v>136.68</v>
      </c>
      <c r="O44" s="136"/>
      <c r="P44" s="126">
        <v>36987</v>
      </c>
      <c r="Q44" s="108" t="s">
        <v>861</v>
      </c>
      <c r="R44" s="108" t="s">
        <v>860</v>
      </c>
      <c r="S44" s="121">
        <f>192.58+93.59</f>
        <v>286.17</v>
      </c>
      <c r="T44" s="127">
        <v>36982</v>
      </c>
    </row>
    <row r="45" spans="1:20" ht="12.75">
      <c r="A45" s="124">
        <v>36932</v>
      </c>
      <c r="B45" s="167">
        <v>2743.2</v>
      </c>
      <c r="C45" s="167"/>
      <c r="D45" s="167">
        <v>2655.86</v>
      </c>
      <c r="E45" s="167"/>
      <c r="F45" s="167"/>
      <c r="G45" s="167"/>
      <c r="H45" s="167"/>
      <c r="I45" s="167"/>
      <c r="J45" s="167"/>
      <c r="K45" s="137">
        <f t="shared" si="3"/>
        <v>5399.0599999999995</v>
      </c>
      <c r="L45" s="168">
        <f t="shared" si="2"/>
        <v>85890.15</v>
      </c>
      <c r="M45" s="128">
        <v>36923</v>
      </c>
      <c r="P45" s="126">
        <v>36987</v>
      </c>
      <c r="Q45" s="108" t="s">
        <v>669</v>
      </c>
      <c r="R45" s="108"/>
      <c r="S45" s="121">
        <v>99</v>
      </c>
      <c r="T45" s="127">
        <v>36982</v>
      </c>
    </row>
    <row r="46" spans="1:21" ht="12.75">
      <c r="A46" s="124">
        <v>36946</v>
      </c>
      <c r="B46" s="167">
        <v>3344.8</v>
      </c>
      <c r="C46" s="167"/>
      <c r="D46" s="167">
        <v>2599.2</v>
      </c>
      <c r="E46" s="167">
        <v>163.26</v>
      </c>
      <c r="F46" s="167"/>
      <c r="G46" s="167">
        <v>374</v>
      </c>
      <c r="H46" s="167"/>
      <c r="I46" s="167"/>
      <c r="J46" s="167"/>
      <c r="K46" s="137">
        <f t="shared" si="3"/>
        <v>6481.26</v>
      </c>
      <c r="L46" s="168">
        <f t="shared" si="2"/>
        <v>92371.40999999999</v>
      </c>
      <c r="M46" s="128">
        <v>36923</v>
      </c>
      <c r="N46" s="136"/>
      <c r="O46" s="136"/>
      <c r="P46" s="126">
        <v>36987</v>
      </c>
      <c r="Q46" s="108" t="s">
        <v>389</v>
      </c>
      <c r="R46" s="108"/>
      <c r="S46" s="121">
        <f>16.31+31.98+29.38</f>
        <v>77.67</v>
      </c>
      <c r="T46" s="127">
        <v>36982</v>
      </c>
      <c r="U46" s="105">
        <f>SUM(S36:S46)</f>
        <v>2512.1800000000003</v>
      </c>
    </row>
    <row r="47" spans="1:20" ht="12.75">
      <c r="A47" s="124">
        <v>36960</v>
      </c>
      <c r="B47" s="167">
        <v>3344.8</v>
      </c>
      <c r="C47" s="167"/>
      <c r="D47" s="167">
        <v>3091.68</v>
      </c>
      <c r="E47" s="167"/>
      <c r="F47" s="167"/>
      <c r="G47" s="167">
        <v>924</v>
      </c>
      <c r="H47" s="167"/>
      <c r="I47" s="167"/>
      <c r="J47" s="167"/>
      <c r="K47" s="137">
        <f t="shared" si="3"/>
        <v>7360.48</v>
      </c>
      <c r="L47" s="168">
        <f t="shared" si="2"/>
        <v>99731.88999999998</v>
      </c>
      <c r="M47" s="128">
        <v>36951</v>
      </c>
      <c r="P47" s="126">
        <v>37011</v>
      </c>
      <c r="Q47" s="108" t="s">
        <v>863</v>
      </c>
      <c r="R47" s="108"/>
      <c r="S47" s="121">
        <v>-1053.33</v>
      </c>
      <c r="T47" s="127">
        <v>37012</v>
      </c>
    </row>
    <row r="48" spans="1:20" ht="12.75">
      <c r="A48" s="124">
        <v>36974</v>
      </c>
      <c r="B48" s="167">
        <v>2341.36</v>
      </c>
      <c r="C48" s="167">
        <v>50.41</v>
      </c>
      <c r="D48" s="167">
        <v>1313.28</v>
      </c>
      <c r="E48" s="167">
        <v>272.1</v>
      </c>
      <c r="F48" s="167"/>
      <c r="G48" s="167">
        <v>110</v>
      </c>
      <c r="H48" s="167"/>
      <c r="I48" s="167"/>
      <c r="J48" s="167"/>
      <c r="K48" s="137">
        <f t="shared" si="3"/>
        <v>4087.15</v>
      </c>
      <c r="L48" s="168">
        <f t="shared" si="2"/>
        <v>103819.03999999998</v>
      </c>
      <c r="M48" s="128">
        <v>36951</v>
      </c>
      <c r="P48" s="126">
        <v>37014</v>
      </c>
      <c r="Q48" s="108" t="s">
        <v>862</v>
      </c>
      <c r="R48" s="108"/>
      <c r="S48" s="121">
        <f>125+75</f>
        <v>200</v>
      </c>
      <c r="T48" s="127">
        <v>37012</v>
      </c>
    </row>
    <row r="49" spans="1:20" ht="12.75">
      <c r="A49" s="124">
        <v>36988</v>
      </c>
      <c r="B49" s="167">
        <v>3344.8</v>
      </c>
      <c r="C49" s="167">
        <v>100.82</v>
      </c>
      <c r="D49" s="167">
        <v>1094.4</v>
      </c>
      <c r="E49" s="167">
        <v>272.1</v>
      </c>
      <c r="F49" s="167"/>
      <c r="G49" s="167">
        <v>176</v>
      </c>
      <c r="H49" s="167"/>
      <c r="I49" s="167"/>
      <c r="J49" s="167"/>
      <c r="K49" s="137">
        <f t="shared" si="3"/>
        <v>4988.120000000001</v>
      </c>
      <c r="L49" s="168">
        <f t="shared" si="2"/>
        <v>108807.15999999997</v>
      </c>
      <c r="M49" s="128">
        <v>36982</v>
      </c>
      <c r="P49" s="126">
        <v>37014</v>
      </c>
      <c r="Q49" s="108" t="s">
        <v>389</v>
      </c>
      <c r="R49" s="108"/>
      <c r="S49" s="121">
        <f>10.05+10</f>
        <v>20.05</v>
      </c>
      <c r="T49" s="127">
        <v>37012</v>
      </c>
    </row>
    <row r="50" spans="1:20" ht="12.75">
      <c r="A50" s="124">
        <v>37002</v>
      </c>
      <c r="B50" s="167">
        <v>3344.8</v>
      </c>
      <c r="C50" s="167"/>
      <c r="D50" s="167">
        <v>3447.36</v>
      </c>
      <c r="E50" s="167"/>
      <c r="F50" s="167"/>
      <c r="G50" s="167">
        <v>792</v>
      </c>
      <c r="H50" s="167"/>
      <c r="I50" s="167"/>
      <c r="J50" s="167"/>
      <c r="K50" s="137">
        <f t="shared" si="3"/>
        <v>7584.16</v>
      </c>
      <c r="L50" s="168">
        <f t="shared" si="2"/>
        <v>116391.31999999998</v>
      </c>
      <c r="M50" s="128">
        <v>36982</v>
      </c>
      <c r="P50" s="126">
        <v>37014</v>
      </c>
      <c r="Q50" s="108" t="s">
        <v>669</v>
      </c>
      <c r="R50" s="108"/>
      <c r="S50" s="121">
        <f>33+24.75</f>
        <v>57.75</v>
      </c>
      <c r="T50" s="127">
        <v>37012</v>
      </c>
    </row>
    <row r="51" spans="1:20" ht="12.75">
      <c r="A51" s="124">
        <v>37016</v>
      </c>
      <c r="B51" s="167">
        <v>3344.8</v>
      </c>
      <c r="C51" s="167"/>
      <c r="D51" s="167">
        <v>3009.6</v>
      </c>
      <c r="E51" s="167">
        <v>544.2</v>
      </c>
      <c r="F51" s="167"/>
      <c r="G51" s="167">
        <v>88</v>
      </c>
      <c r="H51" s="167"/>
      <c r="I51" s="167"/>
      <c r="J51" s="167"/>
      <c r="K51" s="137">
        <f t="shared" si="3"/>
        <v>6986.599999999999</v>
      </c>
      <c r="L51" s="168">
        <f t="shared" si="2"/>
        <v>123377.91999999998</v>
      </c>
      <c r="M51" s="128">
        <v>37012</v>
      </c>
      <c r="P51" s="126">
        <v>37015</v>
      </c>
      <c r="Q51" s="108" t="s">
        <v>678</v>
      </c>
      <c r="R51" s="108"/>
      <c r="S51" s="121">
        <f>1.89+23.6+23.6+80+327.6+42.72</f>
        <v>499.4100000000001</v>
      </c>
      <c r="T51" s="127">
        <v>37012</v>
      </c>
    </row>
    <row r="52" spans="1:20" ht="12.75">
      <c r="A52" s="124">
        <v>37030</v>
      </c>
      <c r="B52" s="167"/>
      <c r="C52" s="167"/>
      <c r="D52" s="167">
        <v>3009.6</v>
      </c>
      <c r="E52" s="167">
        <v>163.26</v>
      </c>
      <c r="F52" s="167"/>
      <c r="G52" s="167">
        <v>528</v>
      </c>
      <c r="H52" s="167"/>
      <c r="I52" s="167"/>
      <c r="J52" s="167"/>
      <c r="K52" s="137">
        <f t="shared" si="3"/>
        <v>3700.8599999999997</v>
      </c>
      <c r="L52" s="168">
        <f t="shared" si="2"/>
        <v>127078.77999999998</v>
      </c>
      <c r="M52" s="128">
        <v>37012</v>
      </c>
      <c r="P52" s="126">
        <v>37015</v>
      </c>
      <c r="Q52" s="108" t="s">
        <v>389</v>
      </c>
      <c r="R52" s="108"/>
      <c r="S52" s="121">
        <f>19.13+8.11+16.5</f>
        <v>43.739999999999995</v>
      </c>
      <c r="T52" s="127">
        <v>37012</v>
      </c>
    </row>
    <row r="53" spans="1:21" ht="12.75">
      <c r="A53" s="124">
        <v>37044</v>
      </c>
      <c r="B53" s="167">
        <v>6355.12</v>
      </c>
      <c r="C53" s="167">
        <v>50.41</v>
      </c>
      <c r="D53" s="167">
        <v>2954.88</v>
      </c>
      <c r="E53" s="167"/>
      <c r="F53" s="167"/>
      <c r="G53" s="167"/>
      <c r="H53" s="167"/>
      <c r="I53" s="167">
        <v>132.65</v>
      </c>
      <c r="J53" s="167"/>
      <c r="K53" s="137">
        <f t="shared" si="3"/>
        <v>9493.06</v>
      </c>
      <c r="L53" s="168">
        <f t="shared" si="2"/>
        <v>136571.84</v>
      </c>
      <c r="M53" s="128">
        <v>37043</v>
      </c>
      <c r="P53" s="126">
        <v>37015</v>
      </c>
      <c r="Q53" s="108" t="s">
        <v>669</v>
      </c>
      <c r="R53" s="108"/>
      <c r="S53" s="121">
        <f>16.2+26.4+33</f>
        <v>75.6</v>
      </c>
      <c r="T53" s="127">
        <v>37012</v>
      </c>
      <c r="U53" s="105">
        <f>SUM(S48:S53)</f>
        <v>896.5500000000001</v>
      </c>
    </row>
    <row r="54" spans="1:20" ht="12.75">
      <c r="A54" s="124">
        <v>37058</v>
      </c>
      <c r="B54" s="167">
        <v>3048</v>
      </c>
      <c r="C54" s="167">
        <v>100.82</v>
      </c>
      <c r="D54" s="167">
        <v>3064.32</v>
      </c>
      <c r="E54" s="167">
        <v>163.26</v>
      </c>
      <c r="F54" s="167"/>
      <c r="G54" s="167">
        <v>1364</v>
      </c>
      <c r="H54" s="167"/>
      <c r="I54" s="167">
        <v>92.86</v>
      </c>
      <c r="J54" s="167"/>
      <c r="K54" s="137">
        <f t="shared" si="3"/>
        <v>7833.26</v>
      </c>
      <c r="L54" s="168">
        <f t="shared" si="2"/>
        <v>144405.1</v>
      </c>
      <c r="M54" s="128">
        <v>37043</v>
      </c>
      <c r="P54" s="126">
        <v>37040</v>
      </c>
      <c r="Q54" s="108" t="s">
        <v>864</v>
      </c>
      <c r="R54" s="108"/>
      <c r="S54" s="121">
        <f>158.23+91+10.2+57.1+75</f>
        <v>391.53000000000003</v>
      </c>
      <c r="T54" s="127">
        <v>37043</v>
      </c>
    </row>
    <row r="55" spans="1:20" ht="12.75">
      <c r="A55" s="124">
        <v>37072</v>
      </c>
      <c r="B55" s="167"/>
      <c r="C55" s="167">
        <v>50.41</v>
      </c>
      <c r="D55" s="167">
        <v>2407.68</v>
      </c>
      <c r="E55" s="167"/>
      <c r="F55" s="167"/>
      <c r="G55" s="167">
        <v>550</v>
      </c>
      <c r="H55" s="167"/>
      <c r="I55" s="167"/>
      <c r="J55" s="167"/>
      <c r="K55" s="137">
        <f t="shared" si="3"/>
        <v>3008.0899999999997</v>
      </c>
      <c r="L55" s="168">
        <f t="shared" si="2"/>
        <v>147413.19</v>
      </c>
      <c r="M55" s="128">
        <v>37073</v>
      </c>
      <c r="P55" s="126">
        <v>37040</v>
      </c>
      <c r="Q55" s="108" t="s">
        <v>337</v>
      </c>
      <c r="R55" s="108" t="s">
        <v>351</v>
      </c>
      <c r="S55" s="121">
        <v>4613</v>
      </c>
      <c r="T55" s="127">
        <v>37043</v>
      </c>
    </row>
    <row r="56" spans="1:20" ht="12.75">
      <c r="A56" s="124">
        <v>37086</v>
      </c>
      <c r="B56" s="167"/>
      <c r="C56" s="167"/>
      <c r="D56" s="167">
        <v>1749</v>
      </c>
      <c r="E56" s="167"/>
      <c r="F56" s="167">
        <v>25.75</v>
      </c>
      <c r="G56" s="167">
        <v>100.5</v>
      </c>
      <c r="H56" s="167"/>
      <c r="I56" s="167">
        <v>149.88</v>
      </c>
      <c r="J56" s="167"/>
      <c r="K56" s="137">
        <f t="shared" si="3"/>
        <v>2025.13</v>
      </c>
      <c r="L56" s="168">
        <f t="shared" si="2"/>
        <v>149438.32</v>
      </c>
      <c r="M56" s="128">
        <v>37073</v>
      </c>
      <c r="P56" s="126">
        <v>37040</v>
      </c>
      <c r="Q56" s="108" t="s">
        <v>389</v>
      </c>
      <c r="R56" s="108"/>
      <c r="S56" s="121">
        <f>7.03+13.4+4.48+118.55</f>
        <v>143.46</v>
      </c>
      <c r="T56" s="127">
        <v>37043</v>
      </c>
    </row>
    <row r="57" spans="1:20" ht="12.75">
      <c r="A57" s="124">
        <v>37100</v>
      </c>
      <c r="B57" s="167"/>
      <c r="C57" s="167"/>
      <c r="D57" s="167">
        <v>2756</v>
      </c>
      <c r="E57" s="167">
        <v>454.5</v>
      </c>
      <c r="F57" s="167"/>
      <c r="G57" s="167">
        <v>201</v>
      </c>
      <c r="H57" s="167"/>
      <c r="I57" s="167"/>
      <c r="J57" s="167"/>
      <c r="K57" s="137">
        <f t="shared" si="3"/>
        <v>3411.5</v>
      </c>
      <c r="L57" s="168">
        <f t="shared" si="2"/>
        <v>152849.82</v>
      </c>
      <c r="M57" s="127">
        <v>37073</v>
      </c>
      <c r="P57" s="126">
        <v>37040</v>
      </c>
      <c r="Q57" s="108" t="s">
        <v>669</v>
      </c>
      <c r="R57" s="108"/>
      <c r="S57" s="121">
        <f>33+22.21+24.75+33</f>
        <v>112.96000000000001</v>
      </c>
      <c r="T57" s="127">
        <v>37043</v>
      </c>
    </row>
    <row r="58" spans="1:20" ht="12.75">
      <c r="A58" s="124">
        <v>37114</v>
      </c>
      <c r="B58" s="167">
        <v>4961.28</v>
      </c>
      <c r="C58" s="167"/>
      <c r="D58" s="167">
        <v>3339</v>
      </c>
      <c r="E58" s="167">
        <v>151.5</v>
      </c>
      <c r="F58" s="167"/>
      <c r="G58" s="167">
        <v>536</v>
      </c>
      <c r="H58" s="167"/>
      <c r="I58" s="167"/>
      <c r="J58" s="167">
        <v>206</v>
      </c>
      <c r="K58" s="137">
        <f t="shared" si="3"/>
        <v>9193.779999999999</v>
      </c>
      <c r="L58" s="168">
        <f t="shared" si="2"/>
        <v>162043.6</v>
      </c>
      <c r="M58" s="127">
        <v>37104</v>
      </c>
      <c r="P58" s="126">
        <v>37041</v>
      </c>
      <c r="Q58" s="108" t="s">
        <v>865</v>
      </c>
      <c r="R58" s="108" t="s">
        <v>866</v>
      </c>
      <c r="S58" s="121">
        <v>597</v>
      </c>
      <c r="T58" s="127">
        <v>37043</v>
      </c>
    </row>
    <row r="59" spans="1:20" ht="12.75">
      <c r="A59" s="124">
        <v>37128</v>
      </c>
      <c r="B59" s="167">
        <v>3100.8</v>
      </c>
      <c r="C59" s="167">
        <v>242.5</v>
      </c>
      <c r="D59" s="167">
        <v>3286</v>
      </c>
      <c r="E59" s="167">
        <v>656.5</v>
      </c>
      <c r="F59" s="167"/>
      <c r="G59" s="167">
        <v>1038.5</v>
      </c>
      <c r="H59" s="167"/>
      <c r="I59" s="167"/>
      <c r="J59" s="167"/>
      <c r="K59" s="137">
        <f t="shared" si="3"/>
        <v>8324.3</v>
      </c>
      <c r="L59" s="168">
        <f t="shared" si="2"/>
        <v>170367.9</v>
      </c>
      <c r="M59" s="127">
        <v>37104</v>
      </c>
      <c r="P59" s="126">
        <v>37041</v>
      </c>
      <c r="Q59" s="108" t="s">
        <v>389</v>
      </c>
      <c r="R59" s="108"/>
      <c r="S59" s="121">
        <v>15</v>
      </c>
      <c r="T59" s="127">
        <v>37043</v>
      </c>
    </row>
    <row r="60" spans="1:20" ht="12.75">
      <c r="A60" s="124">
        <v>37142</v>
      </c>
      <c r="B60" s="167">
        <v>2790.72</v>
      </c>
      <c r="C60" s="167" t="s">
        <v>227</v>
      </c>
      <c r="D60" s="167">
        <v>3339</v>
      </c>
      <c r="E60" s="167">
        <v>303</v>
      </c>
      <c r="F60" s="167"/>
      <c r="G60" s="167">
        <v>703.5</v>
      </c>
      <c r="H60" s="167"/>
      <c r="I60" s="167">
        <v>354.25</v>
      </c>
      <c r="J60" s="167"/>
      <c r="K60" s="137">
        <f t="shared" si="3"/>
        <v>7490.469999999999</v>
      </c>
      <c r="L60" s="168">
        <f t="shared" si="2"/>
        <v>177858.37</v>
      </c>
      <c r="M60" s="127">
        <v>37165</v>
      </c>
      <c r="P60" s="126">
        <v>37041</v>
      </c>
      <c r="Q60" s="108" t="s">
        <v>669</v>
      </c>
      <c r="R60" s="108"/>
      <c r="S60" s="121">
        <v>33</v>
      </c>
      <c r="T60" s="127">
        <v>37043</v>
      </c>
    </row>
    <row r="61" spans="1:21" ht="12.75">
      <c r="A61" s="124">
        <v>37156</v>
      </c>
      <c r="B61" s="167">
        <v>6201.6</v>
      </c>
      <c r="C61" s="167">
        <v>48.5</v>
      </c>
      <c r="D61" s="167">
        <v>3763</v>
      </c>
      <c r="E61" s="167">
        <v>353.5</v>
      </c>
      <c r="F61" s="167"/>
      <c r="G61" s="167">
        <v>904.5</v>
      </c>
      <c r="H61" s="167"/>
      <c r="I61" s="167"/>
      <c r="J61" s="167"/>
      <c r="K61" s="137">
        <f t="shared" si="3"/>
        <v>11271.1</v>
      </c>
      <c r="L61" s="168">
        <f t="shared" si="2"/>
        <v>189129.47</v>
      </c>
      <c r="M61" s="127">
        <v>37165</v>
      </c>
      <c r="P61" s="126">
        <v>37042</v>
      </c>
      <c r="Q61" s="108" t="s">
        <v>678</v>
      </c>
      <c r="R61" s="108"/>
      <c r="S61" s="121">
        <f>1.81+3.88+1.4+29.65+2.37+1.76+29.33+5.81</f>
        <v>76.00999999999999</v>
      </c>
      <c r="T61" s="127">
        <v>37043</v>
      </c>
      <c r="U61" s="105">
        <f>SUM(S54:S61)</f>
        <v>5981.96</v>
      </c>
    </row>
    <row r="62" spans="1:20" ht="12.75">
      <c r="A62" s="124">
        <v>37170</v>
      </c>
      <c r="B62" s="167"/>
      <c r="C62" s="167"/>
      <c r="D62" s="167">
        <v>3180</v>
      </c>
      <c r="E62" s="167">
        <v>227.26</v>
      </c>
      <c r="F62" s="167"/>
      <c r="G62" s="167">
        <v>837.5</v>
      </c>
      <c r="H62" s="167"/>
      <c r="I62" s="167"/>
      <c r="J62" s="167"/>
      <c r="K62" s="137">
        <f aca="true" t="shared" si="4" ref="K62:K103">SUM(B62:J62)</f>
        <v>4244.76</v>
      </c>
      <c r="L62" s="168">
        <f t="shared" si="2"/>
        <v>193374.23</v>
      </c>
      <c r="M62" s="127">
        <v>37165</v>
      </c>
      <c r="P62" s="126">
        <v>37056</v>
      </c>
      <c r="Q62" s="108" t="s">
        <v>678</v>
      </c>
      <c r="R62" s="108" t="s">
        <v>382</v>
      </c>
      <c r="S62" s="121">
        <f>58.8+7.97+19.4</f>
        <v>86.16999999999999</v>
      </c>
      <c r="T62" s="127">
        <v>37043</v>
      </c>
    </row>
    <row r="63" spans="1:20" ht="12.75">
      <c r="A63" s="124">
        <v>37184</v>
      </c>
      <c r="B63" s="167">
        <v>5581.44</v>
      </c>
      <c r="C63" s="167">
        <v>48.5</v>
      </c>
      <c r="D63" s="167">
        <v>3365.5</v>
      </c>
      <c r="E63" s="167">
        <v>151.5</v>
      </c>
      <c r="F63" s="167"/>
      <c r="G63" s="167">
        <v>1005</v>
      </c>
      <c r="H63" s="167"/>
      <c r="I63" s="167">
        <v>81.75</v>
      </c>
      <c r="J63" s="167"/>
      <c r="K63" s="137">
        <f t="shared" si="4"/>
        <v>10233.689999999999</v>
      </c>
      <c r="L63" s="168">
        <f t="shared" si="2"/>
        <v>203607.92</v>
      </c>
      <c r="M63" s="127">
        <v>37165</v>
      </c>
      <c r="P63" s="126">
        <v>37067</v>
      </c>
      <c r="Q63" s="108" t="s">
        <v>678</v>
      </c>
      <c r="R63" s="108" t="s">
        <v>373</v>
      </c>
      <c r="S63" s="121">
        <f>3.88+1.31+1.92+1.19+0.38+1.16+0.96+30.55+6.4+3.33</f>
        <v>51.08</v>
      </c>
      <c r="T63" s="127">
        <v>37104</v>
      </c>
    </row>
    <row r="64" spans="1:21" ht="12.75">
      <c r="A64" s="124">
        <v>37198</v>
      </c>
      <c r="B64" s="167">
        <v>3100.8</v>
      </c>
      <c r="C64" s="167"/>
      <c r="D64" s="167">
        <v>3233</v>
      </c>
      <c r="E64" s="167"/>
      <c r="F64" s="167"/>
      <c r="G64" s="167">
        <v>737</v>
      </c>
      <c r="H64" s="167"/>
      <c r="I64" s="167"/>
      <c r="J64" s="167"/>
      <c r="K64" s="137">
        <f t="shared" si="4"/>
        <v>7070.8</v>
      </c>
      <c r="L64" s="168">
        <f t="shared" si="2"/>
        <v>210678.72</v>
      </c>
      <c r="M64" s="127">
        <v>37196</v>
      </c>
      <c r="P64" s="126">
        <v>37071</v>
      </c>
      <c r="Q64" s="108" t="s">
        <v>678</v>
      </c>
      <c r="R64" s="108" t="s">
        <v>1014</v>
      </c>
      <c r="S64" s="121">
        <v>147</v>
      </c>
      <c r="T64" s="127">
        <v>37104</v>
      </c>
      <c r="U64" s="105"/>
    </row>
    <row r="65" spans="1:20" ht="12.75">
      <c r="A65" s="124">
        <v>37212</v>
      </c>
      <c r="B65" s="167">
        <v>3100.8</v>
      </c>
      <c r="C65" s="167"/>
      <c r="D65" s="167">
        <v>1961</v>
      </c>
      <c r="E65" s="167"/>
      <c r="F65" s="167"/>
      <c r="G65" s="167">
        <v>837.5</v>
      </c>
      <c r="H65" s="167"/>
      <c r="I65" s="167"/>
      <c r="J65" s="167"/>
      <c r="K65" s="137">
        <f t="shared" si="4"/>
        <v>5899.3</v>
      </c>
      <c r="L65" s="168">
        <f t="shared" si="2"/>
        <v>216578.02</v>
      </c>
      <c r="M65" s="127">
        <v>37196</v>
      </c>
      <c r="P65" s="126">
        <v>37071</v>
      </c>
      <c r="Q65" s="108" t="s">
        <v>678</v>
      </c>
      <c r="R65" s="108" t="s">
        <v>1015</v>
      </c>
      <c r="S65" s="121">
        <v>338.3</v>
      </c>
      <c r="T65" s="127">
        <v>37104</v>
      </c>
    </row>
    <row r="66" spans="1:20" ht="12.75">
      <c r="A66" s="124">
        <v>37226</v>
      </c>
      <c r="B66" s="167">
        <v>2480.64</v>
      </c>
      <c r="C66" s="167"/>
      <c r="D66" s="167">
        <v>2332</v>
      </c>
      <c r="E66" s="167"/>
      <c r="F66" s="167"/>
      <c r="G66" s="167">
        <v>670</v>
      </c>
      <c r="H66" s="167">
        <v>103</v>
      </c>
      <c r="I66" s="167"/>
      <c r="J66" s="167"/>
      <c r="K66" s="137">
        <f t="shared" si="4"/>
        <v>5585.639999999999</v>
      </c>
      <c r="L66" s="168">
        <f t="shared" si="2"/>
        <v>222163.65999999997</v>
      </c>
      <c r="M66" s="127">
        <v>37226</v>
      </c>
      <c r="P66" s="126">
        <v>37071</v>
      </c>
      <c r="Q66" s="108" t="s">
        <v>389</v>
      </c>
      <c r="R66" s="108"/>
      <c r="S66" s="121">
        <f>8.32+5</f>
        <v>13.32</v>
      </c>
      <c r="T66" s="127">
        <v>37104</v>
      </c>
    </row>
    <row r="67" spans="1:21" ht="12.75">
      <c r="A67" s="124">
        <v>37240</v>
      </c>
      <c r="B67" s="167">
        <v>3100.8</v>
      </c>
      <c r="C67" s="167"/>
      <c r="D67" s="167">
        <v>3047.5</v>
      </c>
      <c r="E67" s="167"/>
      <c r="F67" s="167"/>
      <c r="G67" s="167">
        <v>435.5</v>
      </c>
      <c r="H67" s="167"/>
      <c r="I67" s="167"/>
      <c r="J67" s="167"/>
      <c r="K67" s="137">
        <f t="shared" si="4"/>
        <v>6583.8</v>
      </c>
      <c r="L67" s="168">
        <f t="shared" si="2"/>
        <v>228747.45999999996</v>
      </c>
      <c r="M67" s="127">
        <v>37226</v>
      </c>
      <c r="P67" s="126">
        <v>37071</v>
      </c>
      <c r="Q67" s="108" t="s">
        <v>669</v>
      </c>
      <c r="R67" s="108"/>
      <c r="S67" s="121">
        <v>66</v>
      </c>
      <c r="T67" s="127">
        <v>37104</v>
      </c>
      <c r="U67" s="105">
        <f>SUM(S63:S67)</f>
        <v>615.7</v>
      </c>
    </row>
    <row r="68" spans="1:20" ht="12.75">
      <c r="A68" s="124">
        <v>37254</v>
      </c>
      <c r="B68" s="167">
        <v>1240.32</v>
      </c>
      <c r="C68" s="167"/>
      <c r="D68" s="167">
        <v>1484</v>
      </c>
      <c r="E68" s="167"/>
      <c r="F68" s="167"/>
      <c r="G68" s="167"/>
      <c r="H68" s="167"/>
      <c r="I68" s="167">
        <v>531.38</v>
      </c>
      <c r="J68" s="167"/>
      <c r="K68" s="137">
        <f t="shared" si="4"/>
        <v>3255.7</v>
      </c>
      <c r="L68" s="168">
        <f t="shared" si="2"/>
        <v>232003.15999999997</v>
      </c>
      <c r="M68" s="127">
        <v>37257</v>
      </c>
      <c r="P68" s="126">
        <v>37081</v>
      </c>
      <c r="Q68" s="108" t="s">
        <v>678</v>
      </c>
      <c r="R68" s="108"/>
      <c r="S68" s="121">
        <f>1.19+1.33+14.83+0.05+2.14+0.96</f>
        <v>20.500000000000004</v>
      </c>
      <c r="T68" s="127">
        <v>37073</v>
      </c>
    </row>
    <row r="69" spans="1:20" ht="12.75">
      <c r="A69" s="124">
        <v>37268</v>
      </c>
      <c r="B69" s="167">
        <v>2572.16</v>
      </c>
      <c r="C69" s="167"/>
      <c r="D69" s="167">
        <v>3270</v>
      </c>
      <c r="E69" s="167">
        <v>934.26</v>
      </c>
      <c r="F69" s="167"/>
      <c r="G69" s="167">
        <v>168.75</v>
      </c>
      <c r="H69" s="167"/>
      <c r="I69" s="167"/>
      <c r="J69" s="167"/>
      <c r="K69" s="137">
        <f t="shared" si="4"/>
        <v>6945.17</v>
      </c>
      <c r="L69" s="168">
        <f t="shared" si="2"/>
        <v>238948.33</v>
      </c>
      <c r="M69" s="127">
        <v>37258</v>
      </c>
      <c r="P69" s="126">
        <v>37088</v>
      </c>
      <c r="Q69" s="108" t="s">
        <v>1016</v>
      </c>
      <c r="R69" s="108" t="s">
        <v>1017</v>
      </c>
      <c r="S69" s="121">
        <v>2628.15</v>
      </c>
      <c r="T69" s="127">
        <v>37073</v>
      </c>
    </row>
    <row r="70" spans="1:20" ht="12.75">
      <c r="A70" s="124">
        <v>37282</v>
      </c>
      <c r="B70" s="167">
        <v>2893.68</v>
      </c>
      <c r="C70" s="167"/>
      <c r="D70" s="167">
        <v>3433.5</v>
      </c>
      <c r="E70" s="167"/>
      <c r="F70" s="167"/>
      <c r="G70" s="167">
        <v>270</v>
      </c>
      <c r="H70" s="167"/>
      <c r="I70" s="167">
        <v>272.5</v>
      </c>
      <c r="J70" s="167"/>
      <c r="K70" s="137">
        <f t="shared" si="4"/>
        <v>6869.68</v>
      </c>
      <c r="L70" s="168">
        <f t="shared" si="2"/>
        <v>245818.00999999998</v>
      </c>
      <c r="M70" s="127">
        <v>37258</v>
      </c>
      <c r="P70" s="126">
        <v>37088</v>
      </c>
      <c r="Q70" s="108" t="s">
        <v>1018</v>
      </c>
      <c r="R70" s="108" t="s">
        <v>1017</v>
      </c>
      <c r="S70" s="121">
        <v>905.23</v>
      </c>
      <c r="T70" s="127">
        <v>37073</v>
      </c>
    </row>
    <row r="71" spans="1:20" ht="12.75">
      <c r="A71" s="124">
        <v>37296</v>
      </c>
      <c r="B71" s="167">
        <v>3215.2</v>
      </c>
      <c r="C71" s="167">
        <v>102</v>
      </c>
      <c r="D71" s="167">
        <v>2834</v>
      </c>
      <c r="E71" s="167"/>
      <c r="F71" s="167"/>
      <c r="G71" s="167">
        <v>270</v>
      </c>
      <c r="H71" s="167">
        <v>436</v>
      </c>
      <c r="I71" s="167"/>
      <c r="J71" s="167"/>
      <c r="K71" s="137">
        <f t="shared" si="4"/>
        <v>6857.2</v>
      </c>
      <c r="L71" s="168">
        <f t="shared" si="2"/>
        <v>252675.21</v>
      </c>
      <c r="M71" s="127">
        <v>37289</v>
      </c>
      <c r="P71" s="126">
        <v>37088</v>
      </c>
      <c r="Q71" s="108" t="s">
        <v>1020</v>
      </c>
      <c r="R71" s="108" t="s">
        <v>1017</v>
      </c>
      <c r="S71" s="121">
        <v>1918.5</v>
      </c>
      <c r="T71" s="127">
        <v>37073</v>
      </c>
    </row>
    <row r="72" spans="1:20" ht="12.75">
      <c r="A72" s="124">
        <v>37310</v>
      </c>
      <c r="B72" s="167">
        <v>3215.2</v>
      </c>
      <c r="C72" s="167"/>
      <c r="D72" s="167">
        <v>3433.5</v>
      </c>
      <c r="E72" s="167">
        <v>498.38</v>
      </c>
      <c r="F72" s="167"/>
      <c r="G72" s="167">
        <v>33.75</v>
      </c>
      <c r="H72" s="167">
        <v>218</v>
      </c>
      <c r="I72" s="167">
        <v>313.38</v>
      </c>
      <c r="J72" s="167"/>
      <c r="K72" s="137">
        <f t="shared" si="4"/>
        <v>7712.21</v>
      </c>
      <c r="L72" s="168">
        <f t="shared" si="2"/>
        <v>260387.41999999998</v>
      </c>
      <c r="M72" s="127">
        <v>37289</v>
      </c>
      <c r="P72" s="126">
        <v>37088</v>
      </c>
      <c r="Q72" s="108" t="s">
        <v>1018</v>
      </c>
      <c r="R72" s="108" t="s">
        <v>1017</v>
      </c>
      <c r="S72" s="121">
        <v>797.93</v>
      </c>
      <c r="T72" s="127">
        <v>37073</v>
      </c>
    </row>
    <row r="73" spans="1:21" ht="12.75">
      <c r="A73" s="124">
        <v>37324</v>
      </c>
      <c r="B73" s="167">
        <v>3215.2</v>
      </c>
      <c r="C73" s="167"/>
      <c r="D73" s="167">
        <v>3460.76</v>
      </c>
      <c r="E73" s="167"/>
      <c r="F73" s="167"/>
      <c r="G73" s="167">
        <v>202.5</v>
      </c>
      <c r="H73" s="167"/>
      <c r="I73" s="167"/>
      <c r="J73" s="167"/>
      <c r="K73" s="137">
        <f t="shared" si="4"/>
        <v>6878.46</v>
      </c>
      <c r="L73" s="168">
        <f t="shared" si="2"/>
        <v>267265.88</v>
      </c>
      <c r="M73" s="127">
        <v>37317</v>
      </c>
      <c r="P73" s="126">
        <v>37088</v>
      </c>
      <c r="Q73" s="108" t="s">
        <v>669</v>
      </c>
      <c r="R73" s="108"/>
      <c r="S73" s="121">
        <v>66</v>
      </c>
      <c r="T73" s="127">
        <v>37073</v>
      </c>
      <c r="U73" s="105">
        <f>SUM(S69:S73)</f>
        <v>6315.81</v>
      </c>
    </row>
    <row r="74" spans="1:20" ht="12.75">
      <c r="A74" s="124">
        <v>37338</v>
      </c>
      <c r="B74" s="167">
        <v>3215.2</v>
      </c>
      <c r="C74" s="167"/>
      <c r="D74" s="167">
        <v>2834</v>
      </c>
      <c r="E74" s="167"/>
      <c r="F74" s="167"/>
      <c r="G74" s="167">
        <v>168.75</v>
      </c>
      <c r="H74" s="167"/>
      <c r="I74" s="167"/>
      <c r="J74" s="167"/>
      <c r="K74" s="137">
        <f t="shared" si="4"/>
        <v>6217.95</v>
      </c>
      <c r="L74" s="168">
        <f t="shared" si="2"/>
        <v>273483.83</v>
      </c>
      <c r="M74" s="127">
        <v>37317</v>
      </c>
      <c r="P74" s="126">
        <v>37104</v>
      </c>
      <c r="Q74" s="108" t="s">
        <v>1065</v>
      </c>
      <c r="R74" s="108" t="s">
        <v>1066</v>
      </c>
      <c r="S74" s="121">
        <v>750</v>
      </c>
      <c r="T74" s="127">
        <v>37104</v>
      </c>
    </row>
    <row r="75" spans="1:20" ht="12.75">
      <c r="A75" s="124">
        <v>37352</v>
      </c>
      <c r="B75" s="167">
        <v>2250.64</v>
      </c>
      <c r="C75" s="167"/>
      <c r="D75" s="167">
        <v>1798.5</v>
      </c>
      <c r="E75" s="167"/>
      <c r="F75" s="167"/>
      <c r="G75" s="167">
        <v>135</v>
      </c>
      <c r="H75" s="167"/>
      <c r="I75" s="167"/>
      <c r="J75" s="167"/>
      <c r="K75" s="137">
        <f t="shared" si="4"/>
        <v>4184.139999999999</v>
      </c>
      <c r="L75" s="168">
        <f t="shared" si="2"/>
        <v>277667.97000000003</v>
      </c>
      <c r="M75" s="127">
        <v>37348</v>
      </c>
      <c r="P75" s="126">
        <v>37104</v>
      </c>
      <c r="Q75" s="108" t="s">
        <v>1067</v>
      </c>
      <c r="R75" s="108" t="s">
        <v>1068</v>
      </c>
      <c r="S75" s="121">
        <v>79.95</v>
      </c>
      <c r="T75" s="127">
        <v>37104</v>
      </c>
    </row>
    <row r="76" spans="1:20" ht="12.75">
      <c r="A76" s="124">
        <v>37366</v>
      </c>
      <c r="B76" s="167">
        <v>3215.2</v>
      </c>
      <c r="C76" s="167"/>
      <c r="D76" s="167">
        <v>2970.26</v>
      </c>
      <c r="E76" s="167"/>
      <c r="F76" s="167"/>
      <c r="G76" s="167">
        <v>236.25</v>
      </c>
      <c r="H76" s="167"/>
      <c r="I76" s="167"/>
      <c r="J76" s="167"/>
      <c r="K76" s="137">
        <f t="shared" si="4"/>
        <v>6421.71</v>
      </c>
      <c r="L76" s="168">
        <f t="shared" si="2"/>
        <v>284089.68000000005</v>
      </c>
      <c r="M76" s="127">
        <v>37348</v>
      </c>
      <c r="P76" s="126">
        <v>37104</v>
      </c>
      <c r="Q76" s="108" t="s">
        <v>389</v>
      </c>
      <c r="R76" s="108"/>
      <c r="S76" s="121">
        <v>4.48</v>
      </c>
      <c r="T76" s="127">
        <v>37104</v>
      </c>
    </row>
    <row r="77" spans="1:20" ht="12.75">
      <c r="A77" s="124">
        <v>37380</v>
      </c>
      <c r="B77" s="167">
        <v>3215.2</v>
      </c>
      <c r="C77" s="167"/>
      <c r="D77" s="167">
        <v>3324.5</v>
      </c>
      <c r="E77" s="167"/>
      <c r="F77" s="167"/>
      <c r="G77" s="167">
        <v>405</v>
      </c>
      <c r="H77" s="167"/>
      <c r="I77" s="167"/>
      <c r="J77" s="167"/>
      <c r="K77" s="137">
        <f t="shared" si="4"/>
        <v>6944.7</v>
      </c>
      <c r="L77" s="168">
        <f t="shared" si="2"/>
        <v>291034.38000000006</v>
      </c>
      <c r="M77" s="127">
        <v>37378</v>
      </c>
      <c r="P77" s="126">
        <v>37104</v>
      </c>
      <c r="Q77" s="135" t="s">
        <v>669</v>
      </c>
      <c r="R77" s="108"/>
      <c r="S77" s="121">
        <f>33+26.38</f>
        <v>59.379999999999995</v>
      </c>
      <c r="T77" s="127">
        <v>37104</v>
      </c>
    </row>
    <row r="78" spans="1:20" ht="12.75">
      <c r="A78" s="124">
        <v>37394</v>
      </c>
      <c r="B78" s="167">
        <v>3215.2</v>
      </c>
      <c r="C78" s="167">
        <v>102</v>
      </c>
      <c r="D78" s="167">
        <v>2316.26</v>
      </c>
      <c r="E78" s="167"/>
      <c r="F78" s="167"/>
      <c r="G78" s="167">
        <v>202.5</v>
      </c>
      <c r="H78" s="167"/>
      <c r="I78" s="167"/>
      <c r="J78" s="167"/>
      <c r="K78" s="137">
        <f t="shared" si="4"/>
        <v>5835.96</v>
      </c>
      <c r="L78" s="168">
        <f t="shared" si="2"/>
        <v>296870.3400000001</v>
      </c>
      <c r="M78" s="127">
        <v>37378</v>
      </c>
      <c r="P78" s="126">
        <v>37105</v>
      </c>
      <c r="Q78" s="108" t="s">
        <v>1069</v>
      </c>
      <c r="R78" s="108" t="s">
        <v>1070</v>
      </c>
      <c r="S78" s="121">
        <v>385</v>
      </c>
      <c r="T78" s="127">
        <v>37104</v>
      </c>
    </row>
    <row r="79" spans="1:20" ht="12.75">
      <c r="A79" s="124">
        <v>37408</v>
      </c>
      <c r="B79" s="167"/>
      <c r="C79" s="167"/>
      <c r="D79" s="167"/>
      <c r="E79" s="167"/>
      <c r="F79" s="167"/>
      <c r="G79" s="167"/>
      <c r="H79" s="167"/>
      <c r="I79" s="167"/>
      <c r="J79" s="167">
        <f>132.51+397.51</f>
        <v>530.02</v>
      </c>
      <c r="K79" s="137">
        <f t="shared" si="4"/>
        <v>530.02</v>
      </c>
      <c r="L79" s="168">
        <f t="shared" si="2"/>
        <v>297400.3600000001</v>
      </c>
      <c r="M79" s="127">
        <v>37408</v>
      </c>
      <c r="P79" s="126">
        <v>37105</v>
      </c>
      <c r="Q79" s="108" t="s">
        <v>389</v>
      </c>
      <c r="R79" s="108"/>
      <c r="S79" s="121">
        <v>35</v>
      </c>
      <c r="T79" s="127">
        <v>37104</v>
      </c>
    </row>
    <row r="80" spans="1:21" ht="12.75">
      <c r="A80" s="124">
        <v>37408</v>
      </c>
      <c r="B80" s="167">
        <v>2893.68</v>
      </c>
      <c r="C80" s="167">
        <v>408</v>
      </c>
      <c r="D80" s="167">
        <v>2398</v>
      </c>
      <c r="E80" s="167"/>
      <c r="F80" s="167"/>
      <c r="G80" s="167">
        <v>540</v>
      </c>
      <c r="H80" s="167"/>
      <c r="I80" s="167"/>
      <c r="K80" s="137">
        <f t="shared" si="4"/>
        <v>6239.68</v>
      </c>
      <c r="L80" s="168">
        <f>L78+K80</f>
        <v>303110.0200000001</v>
      </c>
      <c r="M80" s="127">
        <v>37409</v>
      </c>
      <c r="N80" s="136"/>
      <c r="P80" s="126">
        <v>37105</v>
      </c>
      <c r="Q80" s="108" t="s">
        <v>669</v>
      </c>
      <c r="R80" s="108"/>
      <c r="S80" s="121">
        <v>33</v>
      </c>
      <c r="T80" s="127">
        <v>37104</v>
      </c>
      <c r="U80" s="105">
        <f>SUM(S74:S80)</f>
        <v>1346.81</v>
      </c>
    </row>
    <row r="81" spans="1:20" ht="12.75">
      <c r="A81" s="124">
        <v>37422</v>
      </c>
      <c r="B81" s="167">
        <v>3215.2</v>
      </c>
      <c r="C81" s="167">
        <v>201.68</v>
      </c>
      <c r="D81" s="167">
        <v>3316.09</v>
      </c>
      <c r="E81" s="167"/>
      <c r="F81" s="167"/>
      <c r="G81" s="167">
        <v>597.06</v>
      </c>
      <c r="H81" s="167"/>
      <c r="I81" s="167"/>
      <c r="J81" s="167"/>
      <c r="K81" s="137">
        <f t="shared" si="4"/>
        <v>7330.029999999999</v>
      </c>
      <c r="L81" s="168">
        <f t="shared" si="2"/>
        <v>310440.05000000005</v>
      </c>
      <c r="M81" s="127">
        <v>37409</v>
      </c>
      <c r="N81" s="136"/>
      <c r="P81" s="126">
        <v>37111</v>
      </c>
      <c r="Q81" s="108" t="s">
        <v>1071</v>
      </c>
      <c r="R81" s="108" t="s">
        <v>1072</v>
      </c>
      <c r="S81" s="121">
        <f>900+389</f>
        <v>1289</v>
      </c>
      <c r="T81" s="127">
        <v>37104</v>
      </c>
    </row>
    <row r="82" spans="1:21" ht="12.75">
      <c r="A82" s="124">
        <v>37436</v>
      </c>
      <c r="B82" s="167"/>
      <c r="C82" s="167"/>
      <c r="D82" s="167"/>
      <c r="E82" s="167"/>
      <c r="F82" s="167"/>
      <c r="G82" s="167"/>
      <c r="H82" s="167"/>
      <c r="I82" s="167"/>
      <c r="J82" s="167">
        <v>72</v>
      </c>
      <c r="K82" s="137">
        <f t="shared" si="4"/>
        <v>72</v>
      </c>
      <c r="L82" s="168">
        <f t="shared" si="2"/>
        <v>310512.05000000005</v>
      </c>
      <c r="M82" s="127">
        <v>37439</v>
      </c>
      <c r="N82" s="136"/>
      <c r="P82" s="126">
        <v>37111</v>
      </c>
      <c r="Q82" s="108" t="s">
        <v>669</v>
      </c>
      <c r="R82" s="108"/>
      <c r="S82" s="121">
        <v>66</v>
      </c>
      <c r="T82" s="127">
        <v>37104</v>
      </c>
      <c r="U82" s="105">
        <f>SUM(S81:S82)</f>
        <v>1355</v>
      </c>
    </row>
    <row r="83" spans="1:20" ht="12.75">
      <c r="A83" s="124">
        <v>37436</v>
      </c>
      <c r="B83" s="167">
        <v>3215.2</v>
      </c>
      <c r="C83" s="167">
        <v>403.36</v>
      </c>
      <c r="D83" s="167">
        <v>3100.41</v>
      </c>
      <c r="E83" s="167">
        <v>367.22</v>
      </c>
      <c r="F83" s="167"/>
      <c r="G83" s="167">
        <v>597.06</v>
      </c>
      <c r="H83" s="167"/>
      <c r="I83" s="167"/>
      <c r="K83" s="137">
        <f t="shared" si="4"/>
        <v>7683.25</v>
      </c>
      <c r="L83" s="168">
        <f t="shared" si="2"/>
        <v>318195.30000000005</v>
      </c>
      <c r="M83" s="127">
        <v>37439</v>
      </c>
      <c r="N83" s="136"/>
      <c r="P83" s="126">
        <v>37120</v>
      </c>
      <c r="Q83" s="108" t="s">
        <v>1073</v>
      </c>
      <c r="R83" s="108"/>
      <c r="S83" s="121">
        <v>5.02</v>
      </c>
      <c r="T83" s="127">
        <v>37104</v>
      </c>
    </row>
    <row r="84" spans="1:20" ht="12.75">
      <c r="A84" s="124">
        <v>37450</v>
      </c>
      <c r="B84" s="167">
        <v>2925.72</v>
      </c>
      <c r="C84" s="167">
        <v>102.72</v>
      </c>
      <c r="D84" s="167">
        <v>1765.12</v>
      </c>
      <c r="E84" s="167">
        <v>314.76</v>
      </c>
      <c r="F84" s="167"/>
      <c r="G84" s="167">
        <v>826.32</v>
      </c>
      <c r="H84" s="167"/>
      <c r="I84" s="167"/>
      <c r="J84" s="167">
        <v>147.78</v>
      </c>
      <c r="K84" s="137">
        <f t="shared" si="4"/>
        <v>6082.419999999999</v>
      </c>
      <c r="L84" s="168">
        <f t="shared" si="2"/>
        <v>324277.72000000003</v>
      </c>
      <c r="M84" s="127">
        <v>37439</v>
      </c>
      <c r="P84" s="126">
        <v>37125</v>
      </c>
      <c r="Q84" s="108" t="s">
        <v>1073</v>
      </c>
      <c r="R84" s="108"/>
      <c r="S84" s="121">
        <v>5.02</v>
      </c>
      <c r="T84" s="127">
        <v>37104</v>
      </c>
    </row>
    <row r="85" spans="1:20" ht="12.75">
      <c r="A85" s="124">
        <v>37464</v>
      </c>
      <c r="B85" s="167"/>
      <c r="C85" s="167"/>
      <c r="D85" s="167"/>
      <c r="E85" s="167"/>
      <c r="F85" s="167"/>
      <c r="G85" s="167"/>
      <c r="H85" s="167"/>
      <c r="I85" s="167"/>
      <c r="J85" s="167">
        <v>420</v>
      </c>
      <c r="K85" s="137">
        <f>SUM(B85:J85)</f>
        <v>420</v>
      </c>
      <c r="L85" s="168">
        <f>L83+K85</f>
        <v>318615.30000000005</v>
      </c>
      <c r="M85" s="127">
        <v>37470</v>
      </c>
      <c r="P85" s="126">
        <v>37133</v>
      </c>
      <c r="Q85" s="108" t="s">
        <v>1074</v>
      </c>
      <c r="R85" s="108" t="s">
        <v>1075</v>
      </c>
      <c r="S85" s="121">
        <v>338</v>
      </c>
      <c r="T85" s="127">
        <v>37135</v>
      </c>
    </row>
    <row r="86" spans="1:20" ht="12.75">
      <c r="A86" s="124">
        <v>37464</v>
      </c>
      <c r="B86" s="167">
        <v>1625.4</v>
      </c>
      <c r="C86" s="167"/>
      <c r="D86" s="167">
        <v>3107.51</v>
      </c>
      <c r="E86" s="167"/>
      <c r="F86" s="167"/>
      <c r="G86" s="167">
        <v>724.5</v>
      </c>
      <c r="H86" s="167"/>
      <c r="I86" s="167"/>
      <c r="J86" s="167"/>
      <c r="K86" s="137">
        <f t="shared" si="4"/>
        <v>5457.41</v>
      </c>
      <c r="L86" s="168">
        <f>L84+K86</f>
        <v>329735.13</v>
      </c>
      <c r="M86" s="127">
        <v>37470</v>
      </c>
      <c r="P86" s="126">
        <v>37133</v>
      </c>
      <c r="Q86" s="108" t="s">
        <v>1074</v>
      </c>
      <c r="R86" s="108" t="s">
        <v>1075</v>
      </c>
      <c r="S86" s="121">
        <v>338</v>
      </c>
      <c r="T86" s="127">
        <v>37135</v>
      </c>
    </row>
    <row r="87" spans="1:20" ht="12.75">
      <c r="A87" s="124">
        <v>37478</v>
      </c>
      <c r="B87" s="167"/>
      <c r="C87" s="167"/>
      <c r="D87" s="167">
        <v>3245</v>
      </c>
      <c r="E87" s="167"/>
      <c r="F87" s="167"/>
      <c r="G87" s="167">
        <v>379.5</v>
      </c>
      <c r="H87" s="167"/>
      <c r="I87" s="167"/>
      <c r="J87" s="167"/>
      <c r="K87" s="137">
        <f t="shared" si="4"/>
        <v>3624.5</v>
      </c>
      <c r="L87" s="168">
        <f t="shared" si="2"/>
        <v>333359.63</v>
      </c>
      <c r="M87" s="127">
        <v>37470</v>
      </c>
      <c r="P87" s="126">
        <v>37133</v>
      </c>
      <c r="Q87" s="108" t="s">
        <v>1067</v>
      </c>
      <c r="R87" s="108" t="s">
        <v>1068</v>
      </c>
      <c r="S87" s="121">
        <f>76.9+89.1</f>
        <v>166</v>
      </c>
      <c r="T87" s="127">
        <v>37135</v>
      </c>
    </row>
    <row r="88" spans="1:20" ht="12.75">
      <c r="A88" s="124">
        <v>37492</v>
      </c>
      <c r="B88" s="167">
        <v>2600.64</v>
      </c>
      <c r="C88" s="167"/>
      <c r="D88" s="167">
        <v>2640</v>
      </c>
      <c r="E88" s="167">
        <v>643.12</v>
      </c>
      <c r="F88" s="167"/>
      <c r="G88" s="167">
        <v>276</v>
      </c>
      <c r="H88" s="167"/>
      <c r="I88" s="167"/>
      <c r="J88" s="167"/>
      <c r="K88" s="137">
        <f t="shared" si="4"/>
        <v>6159.759999999999</v>
      </c>
      <c r="L88" s="168">
        <f t="shared" si="2"/>
        <v>339519.39</v>
      </c>
      <c r="M88" s="127">
        <v>37470</v>
      </c>
      <c r="P88" s="126">
        <v>37133</v>
      </c>
      <c r="Q88" s="108" t="s">
        <v>389</v>
      </c>
      <c r="R88" s="108"/>
      <c r="S88" s="121">
        <v>20.56</v>
      </c>
      <c r="T88" s="127">
        <v>37135</v>
      </c>
    </row>
    <row r="89" spans="1:20" ht="12.75">
      <c r="A89" s="124">
        <v>37506</v>
      </c>
      <c r="B89" s="167">
        <v>2985.84</v>
      </c>
      <c r="C89" s="167">
        <v>101.92</v>
      </c>
      <c r="D89" s="132">
        <v>3282.6</v>
      </c>
      <c r="E89" s="167"/>
      <c r="F89" s="167"/>
      <c r="G89" s="485">
        <v>136.84</v>
      </c>
      <c r="H89" s="167"/>
      <c r="I89" s="167"/>
      <c r="J89" s="167"/>
      <c r="K89" s="137">
        <f t="shared" si="4"/>
        <v>6507.200000000001</v>
      </c>
      <c r="L89" s="168">
        <f t="shared" si="2"/>
        <v>346026.59</v>
      </c>
      <c r="M89" s="127">
        <v>37500</v>
      </c>
      <c r="P89" s="126">
        <v>37133</v>
      </c>
      <c r="Q89" s="108" t="s">
        <v>669</v>
      </c>
      <c r="R89" s="108"/>
      <c r="S89" s="121">
        <v>66</v>
      </c>
      <c r="T89" s="127">
        <v>37135</v>
      </c>
    </row>
    <row r="90" spans="1:20" ht="12.75">
      <c r="A90" s="124">
        <v>37520</v>
      </c>
      <c r="B90" s="167">
        <v>2985.84</v>
      </c>
      <c r="C90" s="167"/>
      <c r="D90" s="167">
        <v>3009.05</v>
      </c>
      <c r="E90" s="167"/>
      <c r="F90" s="167"/>
      <c r="G90" s="167">
        <v>667.1</v>
      </c>
      <c r="H90" s="167"/>
      <c r="I90" s="167"/>
      <c r="J90" s="167"/>
      <c r="K90" s="137">
        <f t="shared" si="4"/>
        <v>6661.990000000001</v>
      </c>
      <c r="L90" s="168">
        <f aca="true" t="shared" si="5" ref="L90:L103">L89+K90</f>
        <v>352688.58</v>
      </c>
      <c r="M90" s="127">
        <v>37500</v>
      </c>
      <c r="P90" s="126">
        <v>37133</v>
      </c>
      <c r="Q90" s="108" t="s">
        <v>1076</v>
      </c>
      <c r="R90" s="108" t="s">
        <v>1077</v>
      </c>
      <c r="S90" s="121">
        <v>450</v>
      </c>
      <c r="T90" s="127">
        <v>37135</v>
      </c>
    </row>
    <row r="91" spans="1:21" ht="12.75">
      <c r="A91" s="124">
        <v>37534</v>
      </c>
      <c r="B91" s="167">
        <v>3317.6</v>
      </c>
      <c r="C91" s="167"/>
      <c r="D91" s="167">
        <v>2078.98</v>
      </c>
      <c r="E91" s="167"/>
      <c r="F91" s="167"/>
      <c r="G91" s="167">
        <v>307.89</v>
      </c>
      <c r="H91" s="167"/>
      <c r="I91" s="167"/>
      <c r="J91" s="167"/>
      <c r="K91" s="137">
        <f t="shared" si="4"/>
        <v>5704.47</v>
      </c>
      <c r="L91" s="168">
        <f t="shared" si="5"/>
        <v>358393.05</v>
      </c>
      <c r="M91" s="127">
        <v>37530</v>
      </c>
      <c r="P91" s="126">
        <v>37133</v>
      </c>
      <c r="Q91" s="108" t="s">
        <v>669</v>
      </c>
      <c r="R91" s="108"/>
      <c r="S91" s="121">
        <v>33</v>
      </c>
      <c r="T91" s="127">
        <v>37135</v>
      </c>
      <c r="U91" s="105">
        <f>SUM(S86:S91)</f>
        <v>1073.56</v>
      </c>
    </row>
    <row r="92" spans="1:20" ht="12.75">
      <c r="A92" s="124">
        <v>37548</v>
      </c>
      <c r="B92" s="167">
        <v>3200.54</v>
      </c>
      <c r="C92" s="167"/>
      <c r="D92" s="167"/>
      <c r="E92" s="167">
        <v>78.76</v>
      </c>
      <c r="F92" s="167"/>
      <c r="G92" s="167">
        <v>410.52</v>
      </c>
      <c r="H92" s="167">
        <v>492.39</v>
      </c>
      <c r="I92" s="167"/>
      <c r="J92" s="167"/>
      <c r="K92" s="137">
        <f t="shared" si="4"/>
        <v>4182.21</v>
      </c>
      <c r="L92" s="168">
        <f t="shared" si="5"/>
        <v>362575.26</v>
      </c>
      <c r="M92" s="127">
        <v>37530</v>
      </c>
      <c r="P92" s="126">
        <v>37169</v>
      </c>
      <c r="Q92" s="108" t="s">
        <v>1163</v>
      </c>
      <c r="R92" s="108" t="s">
        <v>1164</v>
      </c>
      <c r="S92" s="121">
        <f>51.3+93.62</f>
        <v>144.92000000000002</v>
      </c>
      <c r="T92" s="127">
        <v>37165</v>
      </c>
    </row>
    <row r="93" spans="1:20" ht="12.75">
      <c r="A93" s="124">
        <v>37562</v>
      </c>
      <c r="B93" s="167">
        <v>6303.44</v>
      </c>
      <c r="C93" s="167">
        <v>50.96</v>
      </c>
      <c r="D93" s="167">
        <v>2626.08</v>
      </c>
      <c r="E93" s="167"/>
      <c r="F93" s="167"/>
      <c r="G93" s="167">
        <v>273.68</v>
      </c>
      <c r="H93" s="167"/>
      <c r="I93" s="167"/>
      <c r="J93" s="167"/>
      <c r="K93" s="137">
        <f t="shared" si="4"/>
        <v>9254.16</v>
      </c>
      <c r="L93" s="168">
        <f t="shared" si="5"/>
        <v>371829.42</v>
      </c>
      <c r="M93" s="127">
        <v>37561</v>
      </c>
      <c r="P93" s="126">
        <v>37169</v>
      </c>
      <c r="Q93" s="108" t="s">
        <v>389</v>
      </c>
      <c r="R93" s="108"/>
      <c r="S93" s="121">
        <f>6.97+20.59</f>
        <v>27.56</v>
      </c>
      <c r="T93" s="127">
        <v>37165</v>
      </c>
    </row>
    <row r="94" spans="1:21" ht="12.75">
      <c r="A94" s="124">
        <v>37576</v>
      </c>
      <c r="B94" s="167">
        <v>3317.6</v>
      </c>
      <c r="C94" s="167">
        <v>611.52</v>
      </c>
      <c r="D94" s="167">
        <v>3638.22</v>
      </c>
      <c r="E94" s="167"/>
      <c r="F94" s="167"/>
      <c r="G94" s="167">
        <v>273.68</v>
      </c>
      <c r="H94" s="167"/>
      <c r="I94" s="167"/>
      <c r="J94" s="167"/>
      <c r="K94" s="137">
        <f t="shared" si="4"/>
        <v>7841.02</v>
      </c>
      <c r="L94" s="168">
        <f t="shared" si="5"/>
        <v>379670.44</v>
      </c>
      <c r="M94" s="127">
        <v>37561</v>
      </c>
      <c r="P94" s="126">
        <v>37169</v>
      </c>
      <c r="Q94" s="108" t="s">
        <v>669</v>
      </c>
      <c r="R94" s="108"/>
      <c r="S94" s="121">
        <f>16.93+30.89</f>
        <v>47.82</v>
      </c>
      <c r="T94" s="127">
        <v>37165</v>
      </c>
      <c r="U94" s="105">
        <f>SUM(S92:S94)</f>
        <v>220.3</v>
      </c>
    </row>
    <row r="95" spans="1:20" ht="12.75">
      <c r="A95" s="124">
        <v>37590</v>
      </c>
      <c r="B95" s="167">
        <v>2654.08</v>
      </c>
      <c r="C95" s="167">
        <v>458.64</v>
      </c>
      <c r="D95" s="167">
        <v>1914.85</v>
      </c>
      <c r="E95" s="167"/>
      <c r="F95" s="167"/>
      <c r="G95" s="167">
        <v>581.57</v>
      </c>
      <c r="H95" s="167"/>
      <c r="I95" s="167"/>
      <c r="J95" s="167"/>
      <c r="K95" s="137">
        <f t="shared" si="4"/>
        <v>5609.139999999999</v>
      </c>
      <c r="L95" s="168">
        <f t="shared" si="5"/>
        <v>385279.58</v>
      </c>
      <c r="M95" s="127">
        <v>37591</v>
      </c>
      <c r="P95" s="126">
        <v>37201</v>
      </c>
      <c r="Q95" s="108" t="s">
        <v>1166</v>
      </c>
      <c r="R95" s="108" t="s">
        <v>1014</v>
      </c>
      <c r="S95" s="121">
        <v>2240.1</v>
      </c>
      <c r="T95" s="127">
        <v>37561</v>
      </c>
    </row>
    <row r="96" spans="1:20" ht="12.75">
      <c r="A96" s="124">
        <v>37604</v>
      </c>
      <c r="B96" s="167">
        <v>2985.84</v>
      </c>
      <c r="C96" s="167">
        <v>1070.16</v>
      </c>
      <c r="D96" s="167">
        <v>2735.5</v>
      </c>
      <c r="E96" s="167"/>
      <c r="F96" s="167"/>
      <c r="G96" s="167">
        <v>376.31</v>
      </c>
      <c r="H96" s="167"/>
      <c r="I96" s="167"/>
      <c r="J96" s="167">
        <v>51.75</v>
      </c>
      <c r="K96" s="137">
        <f t="shared" si="4"/>
        <v>7219.56</v>
      </c>
      <c r="L96" s="168">
        <f t="shared" si="5"/>
        <v>392499.14</v>
      </c>
      <c r="M96" s="127">
        <v>37591</v>
      </c>
      <c r="P96" s="126">
        <v>37201</v>
      </c>
      <c r="Q96" s="108" t="s">
        <v>669</v>
      </c>
      <c r="R96" s="108"/>
      <c r="S96" s="121">
        <v>33</v>
      </c>
      <c r="T96" s="127">
        <v>37561</v>
      </c>
    </row>
    <row r="97" spans="1:20" ht="12.75">
      <c r="A97" s="124">
        <v>37608</v>
      </c>
      <c r="B97" s="167">
        <v>1997.28</v>
      </c>
      <c r="C97" s="167">
        <v>559.46</v>
      </c>
      <c r="D97" s="167">
        <v>1586.59</v>
      </c>
      <c r="E97" s="167"/>
      <c r="F97" s="167"/>
      <c r="G97" s="167">
        <v>581.57</v>
      </c>
      <c r="H97" s="167"/>
      <c r="I97" s="167"/>
      <c r="J97" s="167">
        <f>272.86+17.25</f>
        <v>290.11</v>
      </c>
      <c r="K97" s="137">
        <f t="shared" si="4"/>
        <v>5015.009999999999</v>
      </c>
      <c r="L97" s="168">
        <f t="shared" si="5"/>
        <v>397514.15</v>
      </c>
      <c r="P97" s="126">
        <v>37201</v>
      </c>
      <c r="Q97" s="108" t="s">
        <v>389</v>
      </c>
      <c r="R97" s="108"/>
      <c r="S97" s="121">
        <v>19.95</v>
      </c>
      <c r="T97" s="127">
        <v>37561</v>
      </c>
    </row>
    <row r="98" spans="1:21" ht="12.75">
      <c r="A98" s="124">
        <v>37632</v>
      </c>
      <c r="B98" s="167">
        <v>2332.4</v>
      </c>
      <c r="C98" s="167">
        <v>666.12</v>
      </c>
      <c r="D98" s="167">
        <v>2738</v>
      </c>
      <c r="E98" s="167"/>
      <c r="F98" s="167"/>
      <c r="G98" s="167">
        <v>376.86</v>
      </c>
      <c r="H98" s="167"/>
      <c r="I98" s="167"/>
      <c r="J98" s="167">
        <v>987.31</v>
      </c>
      <c r="K98" s="137">
        <f t="shared" si="4"/>
        <v>7100.6900000000005</v>
      </c>
      <c r="L98" s="168">
        <f t="shared" si="5"/>
        <v>404614.84</v>
      </c>
      <c r="P98" s="126">
        <v>37204</v>
      </c>
      <c r="Q98" s="108" t="s">
        <v>375</v>
      </c>
      <c r="R98" s="108" t="s">
        <v>380</v>
      </c>
      <c r="S98" s="121">
        <f>0.91+1.83+1.4</f>
        <v>4.140000000000001</v>
      </c>
      <c r="T98" s="127">
        <v>37561</v>
      </c>
      <c r="U98" s="105">
        <f>SUM(S95:S98)</f>
        <v>2297.1899999999996</v>
      </c>
    </row>
    <row r="99" spans="1:20" ht="12.75">
      <c r="A99" s="124">
        <v>37646</v>
      </c>
      <c r="B99" s="167">
        <v>3002.4</v>
      </c>
      <c r="C99" s="167">
        <v>530</v>
      </c>
      <c r="D99" s="167">
        <v>3339</v>
      </c>
      <c r="E99" s="167"/>
      <c r="F99" s="167"/>
      <c r="G99" s="167">
        <v>396</v>
      </c>
      <c r="H99" s="167"/>
      <c r="I99" s="167"/>
      <c r="J99" s="167"/>
      <c r="K99" s="137">
        <f t="shared" si="4"/>
        <v>7267.4</v>
      </c>
      <c r="L99" s="168">
        <f t="shared" si="5"/>
        <v>411882.24000000005</v>
      </c>
      <c r="P99" s="126">
        <v>37211</v>
      </c>
      <c r="Q99" s="108" t="s">
        <v>375</v>
      </c>
      <c r="R99" s="108"/>
      <c r="S99" s="121">
        <f>18.83+13.31+12+0.2+1.61+0.23+0.35+0.53+0.34+0.35+1.31</f>
        <v>49.06000000000001</v>
      </c>
      <c r="T99" s="127">
        <v>37561</v>
      </c>
    </row>
    <row r="100" spans="1:20" ht="12.75">
      <c r="A100" s="124">
        <v>37660</v>
      </c>
      <c r="B100" s="167">
        <v>3002.4</v>
      </c>
      <c r="C100" s="167">
        <v>1166</v>
      </c>
      <c r="D100" s="167">
        <v>3127</v>
      </c>
      <c r="E100" s="167"/>
      <c r="F100" s="167"/>
      <c r="G100" s="167">
        <v>576</v>
      </c>
      <c r="H100" s="167"/>
      <c r="I100" s="167"/>
      <c r="J100" s="167"/>
      <c r="K100" s="137">
        <f t="shared" si="4"/>
        <v>7871.4</v>
      </c>
      <c r="L100" s="168">
        <f t="shared" si="5"/>
        <v>419753.6400000001</v>
      </c>
      <c r="P100" s="126">
        <v>37236</v>
      </c>
      <c r="Q100" s="108" t="s">
        <v>1167</v>
      </c>
      <c r="R100" s="108" t="s">
        <v>1077</v>
      </c>
      <c r="S100" s="121">
        <v>2982.17</v>
      </c>
      <c r="T100" s="127">
        <v>37591</v>
      </c>
    </row>
    <row r="101" spans="1:20" ht="12.75">
      <c r="A101" s="124">
        <v>37674</v>
      </c>
      <c r="B101" s="167">
        <v>2335.2</v>
      </c>
      <c r="C101" s="167">
        <v>901</v>
      </c>
      <c r="D101" s="167">
        <v>2411.5</v>
      </c>
      <c r="E101" s="167"/>
      <c r="F101" s="167"/>
      <c r="G101" s="167">
        <v>576</v>
      </c>
      <c r="H101" s="167"/>
      <c r="I101" s="167"/>
      <c r="J101" s="167"/>
      <c r="K101" s="137">
        <f t="shared" si="4"/>
        <v>6223.7</v>
      </c>
      <c r="L101" s="168">
        <f t="shared" si="5"/>
        <v>425977.3400000001</v>
      </c>
      <c r="P101" s="126">
        <v>37236</v>
      </c>
      <c r="Q101" s="108" t="s">
        <v>1067</v>
      </c>
      <c r="R101" s="108" t="s">
        <v>1068</v>
      </c>
      <c r="S101" s="121">
        <v>139.95</v>
      </c>
      <c r="T101" s="127">
        <v>37591</v>
      </c>
    </row>
    <row r="102" spans="1:20" ht="12.75">
      <c r="A102" s="124">
        <v>37688</v>
      </c>
      <c r="B102" s="167">
        <v>3336</v>
      </c>
      <c r="C102" s="167">
        <v>742</v>
      </c>
      <c r="D102" s="167">
        <v>3180</v>
      </c>
      <c r="E102" s="167"/>
      <c r="F102" s="167"/>
      <c r="G102" s="167">
        <v>540</v>
      </c>
      <c r="H102" s="167"/>
      <c r="I102" s="167"/>
      <c r="J102" s="167">
        <f>12.5+1812.5</f>
        <v>1825</v>
      </c>
      <c r="K102" s="137">
        <f t="shared" si="4"/>
        <v>9623</v>
      </c>
      <c r="L102" s="168">
        <f t="shared" si="5"/>
        <v>435600.3400000001</v>
      </c>
      <c r="P102" s="126">
        <v>37236</v>
      </c>
      <c r="Q102" s="108" t="s">
        <v>1168</v>
      </c>
      <c r="R102" s="108" t="s">
        <v>1169</v>
      </c>
      <c r="S102" s="121">
        <f>72.72+387.21</f>
        <v>459.92999999999995</v>
      </c>
      <c r="T102" s="127">
        <v>37591</v>
      </c>
    </row>
    <row r="103" spans="1:20" ht="12.75">
      <c r="A103" s="124">
        <v>37702</v>
      </c>
      <c r="B103" s="167">
        <v>3336</v>
      </c>
      <c r="C103" s="167"/>
      <c r="D103" s="167">
        <v>3206.5</v>
      </c>
      <c r="E103" s="167"/>
      <c r="F103" s="167"/>
      <c r="G103" s="167">
        <v>360</v>
      </c>
      <c r="H103" s="167"/>
      <c r="I103" s="167"/>
      <c r="J103" s="167">
        <v>676.51</v>
      </c>
      <c r="K103" s="137">
        <f t="shared" si="4"/>
        <v>7579.01</v>
      </c>
      <c r="L103" s="168">
        <f t="shared" si="5"/>
        <v>443179.3500000001</v>
      </c>
      <c r="P103" s="126">
        <v>37238</v>
      </c>
      <c r="Q103" s="108" t="s">
        <v>1170</v>
      </c>
      <c r="R103" s="108" t="s">
        <v>372</v>
      </c>
      <c r="S103" s="121">
        <v>365</v>
      </c>
      <c r="T103" s="127">
        <v>37591</v>
      </c>
    </row>
    <row r="104" spans="1:20" ht="12.75">
      <c r="A104" s="109" t="s">
        <v>358</v>
      </c>
      <c r="B104" s="169">
        <f>SUM(B5:B103)</f>
        <v>191993.90000000005</v>
      </c>
      <c r="C104" s="169">
        <f aca="true" t="shared" si="6" ref="C104:J104">SUM(C5:C103)</f>
        <v>9789.27</v>
      </c>
      <c r="D104" s="169">
        <f t="shared" si="6"/>
        <v>170030.74999999997</v>
      </c>
      <c r="E104" s="169">
        <f t="shared" si="6"/>
        <v>24128.07999999999</v>
      </c>
      <c r="F104" s="169">
        <f t="shared" si="6"/>
        <v>85.75</v>
      </c>
      <c r="G104" s="169">
        <f t="shared" si="6"/>
        <v>25379.46</v>
      </c>
      <c r="H104" s="169">
        <f t="shared" si="6"/>
        <v>10527.51</v>
      </c>
      <c r="I104" s="169">
        <f t="shared" si="6"/>
        <v>1928.65</v>
      </c>
      <c r="J104" s="169">
        <f t="shared" si="6"/>
        <v>5343.16</v>
      </c>
      <c r="K104" s="169">
        <f>SUM(K5:K103)</f>
        <v>444129.3700000001</v>
      </c>
      <c r="L104" s="170">
        <f>SUM(B104:J104)+K5</f>
        <v>444129.3700000001</v>
      </c>
      <c r="P104" s="126">
        <v>37238</v>
      </c>
      <c r="Q104" s="108" t="s">
        <v>231</v>
      </c>
      <c r="R104" s="108" t="s">
        <v>1171</v>
      </c>
      <c r="S104" s="121">
        <v>952</v>
      </c>
      <c r="T104" s="127">
        <v>37591</v>
      </c>
    </row>
    <row r="105" spans="16:20" ht="12.75">
      <c r="P105" s="126">
        <v>37238</v>
      </c>
      <c r="Q105" s="108" t="s">
        <v>375</v>
      </c>
      <c r="R105" s="108" t="s">
        <v>373</v>
      </c>
      <c r="S105" s="121">
        <f>189.47+42+19+73+117.5+112+22+140+40+119.7+19+14+14+40</f>
        <v>961.6700000000001</v>
      </c>
      <c r="T105" s="127">
        <v>37591</v>
      </c>
    </row>
    <row r="106" spans="1:20" ht="12.75">
      <c r="A106" s="107" t="s">
        <v>1358</v>
      </c>
      <c r="B106" s="296">
        <f>B104+'9715'!B30</f>
        <v>217774.38000000006</v>
      </c>
      <c r="C106" s="296">
        <f>C104+'9715'!C30</f>
        <v>10528.94</v>
      </c>
      <c r="D106" s="296">
        <f>D104+'9715'!D30</f>
        <v>170230.86999999997</v>
      </c>
      <c r="E106" s="295">
        <f>E104+'9715'!E30</f>
        <v>25914.92999999999</v>
      </c>
      <c r="F106" s="295">
        <f>F104</f>
        <v>85.75</v>
      </c>
      <c r="G106" s="295">
        <f>G104</f>
        <v>25379.46</v>
      </c>
      <c r="H106" s="295">
        <f>H104+'9715'!H30</f>
        <v>11812.61</v>
      </c>
      <c r="I106" s="136">
        <f>I104+'9715'!F30</f>
        <v>2098.05</v>
      </c>
      <c r="J106" s="136">
        <f>J104</f>
        <v>5343.16</v>
      </c>
      <c r="K106" s="136">
        <f>SUM(B106:J106)+'9715'!I5</f>
        <v>477286.87</v>
      </c>
      <c r="P106" s="126">
        <v>37238</v>
      </c>
      <c r="Q106" s="108" t="s">
        <v>389</v>
      </c>
      <c r="R106" s="108"/>
      <c r="S106" s="121">
        <f>35+4.98+22.79+23.14+22.27+77.6</f>
        <v>185.77999999999997</v>
      </c>
      <c r="T106" s="127">
        <v>37591</v>
      </c>
    </row>
    <row r="107" spans="16:21" ht="12.75">
      <c r="P107" s="126">
        <v>37238</v>
      </c>
      <c r="Q107" s="108" t="s">
        <v>669</v>
      </c>
      <c r="R107" s="108"/>
      <c r="S107" s="121">
        <f>33+33+24+33+33+33+20.13+33+33</f>
        <v>275.13</v>
      </c>
      <c r="T107" s="127">
        <v>37591</v>
      </c>
      <c r="U107" s="105">
        <f>SUM(S100:S107)</f>
        <v>6321.629999999999</v>
      </c>
    </row>
    <row r="108" spans="2:20" ht="12.75">
      <c r="B108" s="129">
        <f>B104/51</f>
        <v>3764.5862745098048</v>
      </c>
      <c r="P108" s="126">
        <v>37271</v>
      </c>
      <c r="Q108" s="108" t="s">
        <v>1347</v>
      </c>
      <c r="R108" s="108" t="s">
        <v>346</v>
      </c>
      <c r="S108" s="121">
        <v>2256</v>
      </c>
      <c r="T108" s="127">
        <v>37258</v>
      </c>
    </row>
    <row r="109" spans="1:20" ht="12.75">
      <c r="A109" s="106"/>
      <c r="B109" s="131">
        <f>SUM(B42:B68)</f>
        <v>72052.48000000003</v>
      </c>
      <c r="C109" s="134"/>
      <c r="D109" s="134"/>
      <c r="P109" s="126">
        <v>37271</v>
      </c>
      <c r="Q109" s="108" t="s">
        <v>1348</v>
      </c>
      <c r="R109" s="108" t="s">
        <v>382</v>
      </c>
      <c r="S109" s="121">
        <v>656</v>
      </c>
      <c r="T109" s="127">
        <v>37258</v>
      </c>
    </row>
    <row r="110" spans="2:20" ht="12.75">
      <c r="B110" s="129">
        <f aca="true" t="shared" si="7" ref="B110:J110">SUM(B69:B96)*26/21</f>
        <v>92175.57142857143</v>
      </c>
      <c r="C110" s="129">
        <f t="shared" si="7"/>
        <v>4473.188571428572</v>
      </c>
      <c r="D110" s="129">
        <f t="shared" si="7"/>
        <v>84849.99714285719</v>
      </c>
      <c r="E110" s="129">
        <f t="shared" si="7"/>
        <v>3511.8571428571427</v>
      </c>
      <c r="F110" s="129">
        <f t="shared" si="7"/>
        <v>0</v>
      </c>
      <c r="G110" s="129">
        <f t="shared" si="7"/>
        <v>11217.79904761905</v>
      </c>
      <c r="H110" s="129">
        <f t="shared" si="7"/>
        <v>1419.3399999999997</v>
      </c>
      <c r="I110" s="129">
        <f t="shared" si="7"/>
        <v>725.375238095238</v>
      </c>
      <c r="J110" s="129">
        <f t="shared" si="7"/>
        <v>1512.395238095238</v>
      </c>
      <c r="K110" s="129">
        <f>SUM(C110:J110)</f>
        <v>107709.95238095243</v>
      </c>
      <c r="P110" s="126">
        <v>37271</v>
      </c>
      <c r="Q110" s="108" t="s">
        <v>1349</v>
      </c>
      <c r="R110" s="108" t="s">
        <v>373</v>
      </c>
      <c r="S110" s="121">
        <v>1800</v>
      </c>
      <c r="T110" s="127">
        <v>37258</v>
      </c>
    </row>
    <row r="111" spans="16:20" ht="12.75">
      <c r="P111" s="126">
        <v>37271</v>
      </c>
      <c r="Q111" s="108" t="s">
        <v>1350</v>
      </c>
      <c r="R111" s="108" t="s">
        <v>380</v>
      </c>
      <c r="S111" s="121">
        <v>195</v>
      </c>
      <c r="T111" s="127">
        <v>37258</v>
      </c>
    </row>
    <row r="112" spans="16:20" ht="12.75">
      <c r="P112" s="126">
        <v>37271</v>
      </c>
      <c r="Q112" s="108" t="s">
        <v>389</v>
      </c>
      <c r="R112" s="108"/>
      <c r="S112" s="121">
        <f>21.75+24.2</f>
        <v>45.95</v>
      </c>
      <c r="T112" s="127">
        <v>37258</v>
      </c>
    </row>
    <row r="113" spans="16:21" ht="12.75">
      <c r="P113" s="126">
        <v>37271</v>
      </c>
      <c r="Q113" s="108" t="s">
        <v>669</v>
      </c>
      <c r="R113" s="108"/>
      <c r="S113" s="121">
        <f>33+33+33+33</f>
        <v>132</v>
      </c>
      <c r="T113" s="127">
        <v>37258</v>
      </c>
      <c r="U113" s="105">
        <f>SUM(S108:S113)</f>
        <v>5084.95</v>
      </c>
    </row>
    <row r="114" spans="16:20" ht="12.75">
      <c r="P114" s="126">
        <v>37285</v>
      </c>
      <c r="Q114" s="108" t="s">
        <v>1351</v>
      </c>
      <c r="R114" s="108" t="s">
        <v>857</v>
      </c>
      <c r="S114" s="121">
        <v>0.91</v>
      </c>
      <c r="T114" s="127">
        <v>37289</v>
      </c>
    </row>
    <row r="115" spans="16:20" ht="12.75">
      <c r="P115" s="126">
        <v>37288</v>
      </c>
      <c r="Q115" s="108" t="s">
        <v>1351</v>
      </c>
      <c r="R115" s="108" t="s">
        <v>857</v>
      </c>
      <c r="S115" s="121">
        <v>0.91</v>
      </c>
      <c r="T115" s="127">
        <v>37289</v>
      </c>
    </row>
    <row r="116" spans="16:20" ht="12.75">
      <c r="P116" s="126">
        <v>37321</v>
      </c>
      <c r="Q116" s="108" t="s">
        <v>1352</v>
      </c>
      <c r="R116" s="108" t="s">
        <v>347</v>
      </c>
      <c r="S116" s="121">
        <f>115+11.6+96.15+487.68</f>
        <v>710.4300000000001</v>
      </c>
      <c r="T116" s="127">
        <v>37317</v>
      </c>
    </row>
    <row r="117" spans="16:20" ht="12.75">
      <c r="P117" s="126">
        <v>37321</v>
      </c>
      <c r="Q117" s="108" t="s">
        <v>389</v>
      </c>
      <c r="R117" s="108"/>
      <c r="S117" s="121">
        <f>4.22+41.38</f>
        <v>45.6</v>
      </c>
      <c r="T117" s="127">
        <v>37317</v>
      </c>
    </row>
    <row r="118" spans="16:21" ht="12.75">
      <c r="P118" s="126">
        <v>37321</v>
      </c>
      <c r="Q118" s="108" t="s">
        <v>669</v>
      </c>
      <c r="R118" s="108"/>
      <c r="S118" s="121">
        <f>33+33+33</f>
        <v>99</v>
      </c>
      <c r="T118" s="127">
        <v>37317</v>
      </c>
      <c r="U118" s="105">
        <f>SUM(S116:S118)</f>
        <v>855.0300000000001</v>
      </c>
    </row>
    <row r="119" spans="16:22" ht="12.75">
      <c r="P119" s="126">
        <v>37356</v>
      </c>
      <c r="Q119" s="108" t="s">
        <v>1371</v>
      </c>
      <c r="R119" s="108" t="s">
        <v>347</v>
      </c>
      <c r="S119" s="121">
        <f>1100+415+375</f>
        <v>1890</v>
      </c>
      <c r="T119" s="127">
        <v>37348</v>
      </c>
      <c r="V119" t="s">
        <v>1400</v>
      </c>
    </row>
    <row r="120" spans="16:22" ht="12.75">
      <c r="P120" s="126">
        <v>37356</v>
      </c>
      <c r="Q120" s="108" t="s">
        <v>1372</v>
      </c>
      <c r="R120" s="108" t="s">
        <v>347</v>
      </c>
      <c r="S120" s="121">
        <f>65.95+125.95+145.95+299.9+59.95+121.95+179.9+33.95+26.95+79.95</f>
        <v>1140.4</v>
      </c>
      <c r="T120" s="127">
        <v>37348</v>
      </c>
      <c r="V120" s="105" t="s">
        <v>1373</v>
      </c>
    </row>
    <row r="121" spans="16:20" ht="12.75">
      <c r="P121" s="126">
        <v>37356</v>
      </c>
      <c r="Q121" s="108" t="s">
        <v>389</v>
      </c>
      <c r="R121" s="108"/>
      <c r="S121" s="121">
        <f>42.75+73.52+3.87+23.73</f>
        <v>143.87</v>
      </c>
      <c r="T121" s="127">
        <v>37348</v>
      </c>
    </row>
    <row r="122" spans="16:20" ht="12.75">
      <c r="P122" s="126">
        <v>37356</v>
      </c>
      <c r="Q122" s="108" t="s">
        <v>1374</v>
      </c>
      <c r="R122" s="108"/>
      <c r="S122" s="121">
        <f>7.44+5.89+33.78</f>
        <v>47.11</v>
      </c>
      <c r="T122" s="127">
        <v>37348</v>
      </c>
    </row>
    <row r="123" spans="16:20" ht="12.75">
      <c r="P123" s="126">
        <v>37357</v>
      </c>
      <c r="Q123" s="108" t="s">
        <v>1375</v>
      </c>
      <c r="R123" s="108" t="s">
        <v>347</v>
      </c>
      <c r="S123" s="121">
        <f>85</f>
        <v>85</v>
      </c>
      <c r="T123" s="127">
        <v>37348</v>
      </c>
    </row>
    <row r="124" spans="16:21" ht="12.75">
      <c r="P124" s="126">
        <v>37358</v>
      </c>
      <c r="Q124" s="108" t="s">
        <v>1376</v>
      </c>
      <c r="R124" s="108" t="s">
        <v>373</v>
      </c>
      <c r="S124" s="121">
        <f>2.67+5.6+0.83+2.41+0.91</f>
        <v>12.42</v>
      </c>
      <c r="T124" s="127">
        <v>37348</v>
      </c>
      <c r="U124" s="136">
        <f>SUM(S119:S124)</f>
        <v>3318.8</v>
      </c>
    </row>
    <row r="125" spans="16:20" ht="12.75">
      <c r="P125" s="126">
        <v>37372</v>
      </c>
      <c r="Q125" s="108" t="s">
        <v>1376</v>
      </c>
      <c r="R125" s="108" t="s">
        <v>373</v>
      </c>
      <c r="S125" s="121">
        <f>1.25+1.81+4.83+0.21+0.33</f>
        <v>8.430000000000001</v>
      </c>
      <c r="T125" s="127">
        <v>37378</v>
      </c>
    </row>
    <row r="126" spans="16:20" ht="12.75">
      <c r="P126" s="126">
        <v>37379</v>
      </c>
      <c r="Q126" s="108" t="s">
        <v>1376</v>
      </c>
      <c r="R126" s="108" t="s">
        <v>373</v>
      </c>
      <c r="S126" s="121">
        <f>2.41+0.45+0.67+0.31+4.4</f>
        <v>8.24</v>
      </c>
      <c r="T126" s="127">
        <v>37378</v>
      </c>
    </row>
    <row r="127" spans="16:20" ht="12.75">
      <c r="P127" s="126">
        <v>37393</v>
      </c>
      <c r="Q127" s="108" t="s">
        <v>1376</v>
      </c>
      <c r="R127" s="108" t="s">
        <v>346</v>
      </c>
      <c r="S127" s="121">
        <f>4.21+2.61</f>
        <v>6.82</v>
      </c>
      <c r="T127" s="127">
        <v>37380</v>
      </c>
    </row>
    <row r="128" spans="16:20" ht="12.75">
      <c r="P128" s="126">
        <v>37404</v>
      </c>
      <c r="Q128" s="108" t="s">
        <v>1377</v>
      </c>
      <c r="R128" s="108" t="s">
        <v>373</v>
      </c>
      <c r="S128" s="121">
        <f>10.31+1000+147.8+34.35+89.9+103.51+47.3+1812+110.85</f>
        <v>3356.02</v>
      </c>
      <c r="T128" s="127">
        <v>37409</v>
      </c>
    </row>
    <row r="129" spans="16:20" ht="12.75">
      <c r="P129" s="126">
        <v>37404</v>
      </c>
      <c r="Q129" s="108" t="s">
        <v>389</v>
      </c>
      <c r="R129" s="108"/>
      <c r="S129" s="121">
        <v>37.47</v>
      </c>
      <c r="T129" s="127">
        <v>37409</v>
      </c>
    </row>
    <row r="130" spans="16:20" ht="12.75">
      <c r="P130" s="126">
        <v>37400</v>
      </c>
      <c r="Q130" s="108" t="s">
        <v>1377</v>
      </c>
      <c r="R130" s="108" t="s">
        <v>373</v>
      </c>
      <c r="S130" s="121">
        <f>1.81+4.83+1.33+0.62+0.21+1.19</f>
        <v>9.99</v>
      </c>
      <c r="T130" s="127">
        <v>37409</v>
      </c>
    </row>
    <row r="131" spans="16:20" ht="12.75">
      <c r="P131" s="126">
        <v>37404</v>
      </c>
      <c r="Q131" s="108" t="s">
        <v>669</v>
      </c>
      <c r="R131" s="108"/>
      <c r="S131" s="121">
        <v>66</v>
      </c>
      <c r="T131" s="127">
        <v>37409</v>
      </c>
    </row>
    <row r="132" spans="16:20" ht="12.75">
      <c r="P132" s="126">
        <v>37405</v>
      </c>
      <c r="Q132" s="108" t="s">
        <v>1377</v>
      </c>
      <c r="R132" s="108" t="s">
        <v>373</v>
      </c>
      <c r="S132" s="137">
        <f>109.95+502.5+30.4+1898+38.25+22.21+6.08+6.08+64.86+25.2+9.36+149.76+21+6.08+6.08+76+20+76+51+45.6+51+76.5</f>
        <v>3291.9099999999994</v>
      </c>
      <c r="T132" s="127">
        <v>37409</v>
      </c>
    </row>
    <row r="133" spans="16:20" ht="12.75">
      <c r="P133" s="126">
        <v>37405</v>
      </c>
      <c r="Q133" s="108" t="s">
        <v>389</v>
      </c>
      <c r="R133" s="108"/>
      <c r="S133" s="137">
        <f>42.33+27.5+23+12</f>
        <v>104.83</v>
      </c>
      <c r="T133" s="127">
        <v>37409</v>
      </c>
    </row>
    <row r="134" spans="16:20" ht="12.75">
      <c r="P134" s="126">
        <v>37405</v>
      </c>
      <c r="Q134" s="108" t="s">
        <v>669</v>
      </c>
      <c r="R134" s="108"/>
      <c r="S134" s="137">
        <f>4*33</f>
        <v>132</v>
      </c>
      <c r="T134" s="127">
        <v>37409</v>
      </c>
    </row>
    <row r="135" spans="16:20" ht="12.75">
      <c r="P135" s="123">
        <v>37407</v>
      </c>
      <c r="Q135" s="141" t="s">
        <v>1378</v>
      </c>
      <c r="R135" s="108" t="s">
        <v>373</v>
      </c>
      <c r="S135" s="167">
        <f>289.04+158+501.79+92+49+69+12.9+37+32</f>
        <v>1240.73</v>
      </c>
      <c r="T135" s="127">
        <v>37409</v>
      </c>
    </row>
    <row r="136" spans="16:20" ht="12.75">
      <c r="P136" s="123">
        <v>37407</v>
      </c>
      <c r="Q136" s="141" t="s">
        <v>1377</v>
      </c>
      <c r="R136" s="108" t="s">
        <v>373</v>
      </c>
      <c r="S136" s="167">
        <f>1.33+0.92+0.16+0.11+23.8+7.93+2+0.6+0.93+0.94+0.19+10.79+1.51+15.44+10.4</f>
        <v>77.05</v>
      </c>
      <c r="T136" s="127">
        <v>37409</v>
      </c>
    </row>
    <row r="137" spans="16:20" ht="12.75">
      <c r="P137" s="123">
        <v>37407</v>
      </c>
      <c r="Q137" s="141" t="s">
        <v>1379</v>
      </c>
      <c r="R137" s="108" t="s">
        <v>373</v>
      </c>
      <c r="S137" s="167">
        <f>4141.67+504.89</f>
        <v>4646.56</v>
      </c>
      <c r="T137" s="127">
        <v>37409</v>
      </c>
    </row>
    <row r="138" spans="16:20" ht="12.75">
      <c r="P138" s="123">
        <v>37407</v>
      </c>
      <c r="Q138" s="141" t="s">
        <v>1380</v>
      </c>
      <c r="R138" s="108" t="s">
        <v>373</v>
      </c>
      <c r="S138" s="167">
        <v>799</v>
      </c>
      <c r="T138" s="127">
        <v>37409</v>
      </c>
    </row>
    <row r="139" spans="16:20" ht="12.75">
      <c r="P139" s="123">
        <v>37407</v>
      </c>
      <c r="Q139" s="141" t="s">
        <v>389</v>
      </c>
      <c r="R139" s="108"/>
      <c r="S139" s="167">
        <f>58.77+11.84+30+10</f>
        <v>110.61</v>
      </c>
      <c r="T139" s="127">
        <v>37409</v>
      </c>
    </row>
    <row r="140" spans="16:21" ht="12.75">
      <c r="P140" s="123">
        <v>37407</v>
      </c>
      <c r="Q140" s="141" t="s">
        <v>669</v>
      </c>
      <c r="R140" s="108"/>
      <c r="S140" s="167">
        <f>33+8.53+33+33</f>
        <v>107.53</v>
      </c>
      <c r="T140" s="127">
        <v>37409</v>
      </c>
      <c r="U140" s="105">
        <f>SUM(S128:S140)</f>
        <v>13979.699999999999</v>
      </c>
    </row>
    <row r="141" spans="16:20" ht="12.75">
      <c r="P141" s="123">
        <v>37414</v>
      </c>
      <c r="Q141" s="141" t="s">
        <v>1377</v>
      </c>
      <c r="R141" s="108" t="s">
        <v>373</v>
      </c>
      <c r="S141" s="167">
        <f>11.84+2+0.6+0.93+3.12+8.61+22.93+3.72+5.34+24.83+5.07</f>
        <v>88.99000000000001</v>
      </c>
      <c r="T141" s="127">
        <v>37409</v>
      </c>
    </row>
    <row r="142" spans="16:21" ht="12.75">
      <c r="P142" s="123">
        <v>37414</v>
      </c>
      <c r="Q142" s="141" t="s">
        <v>1377</v>
      </c>
      <c r="R142" s="108" t="s">
        <v>373</v>
      </c>
      <c r="S142" s="167">
        <f>20.4+23.8</f>
        <v>44.2</v>
      </c>
      <c r="T142" s="127">
        <v>37409</v>
      </c>
      <c r="U142" s="136">
        <f>SUM(S141:S142)</f>
        <v>133.19</v>
      </c>
    </row>
    <row r="143" spans="16:20" ht="12.75">
      <c r="P143" s="123">
        <v>37453</v>
      </c>
      <c r="Q143" s="141" t="s">
        <v>1381</v>
      </c>
      <c r="R143" s="108" t="s">
        <v>373</v>
      </c>
      <c r="S143" s="167">
        <f>1.78+6.24+0.71+3.06+7.93+0.5+3.57+15.51+1.82+9.68+1.51+1.88</f>
        <v>54.19</v>
      </c>
      <c r="T143" s="127">
        <v>37438</v>
      </c>
    </row>
    <row r="144" spans="16:20" ht="12.75">
      <c r="P144" s="123">
        <v>37454</v>
      </c>
      <c r="Q144" s="141" t="s">
        <v>1073</v>
      </c>
      <c r="R144" s="108" t="s">
        <v>347</v>
      </c>
      <c r="S144" s="167">
        <v>29.08</v>
      </c>
      <c r="T144" s="127">
        <v>37439</v>
      </c>
    </row>
    <row r="145" spans="16:20" ht="12.75">
      <c r="P145" s="123">
        <v>37461</v>
      </c>
      <c r="Q145" s="141" t="s">
        <v>1377</v>
      </c>
      <c r="R145" s="108" t="s">
        <v>373</v>
      </c>
      <c r="S145" s="167">
        <v>889</v>
      </c>
      <c r="T145" s="127">
        <v>37470</v>
      </c>
    </row>
    <row r="146" spans="16:20" ht="12.75">
      <c r="P146" s="123">
        <v>37461</v>
      </c>
      <c r="Q146" s="141" t="s">
        <v>1383</v>
      </c>
      <c r="R146" s="108" t="s">
        <v>346</v>
      </c>
      <c r="S146" s="167">
        <v>695</v>
      </c>
      <c r="T146" s="127">
        <v>37470</v>
      </c>
    </row>
    <row r="147" spans="16:20" ht="12.75">
      <c r="P147" s="123">
        <v>37461</v>
      </c>
      <c r="Q147" s="141" t="s">
        <v>1382</v>
      </c>
      <c r="R147" s="108"/>
      <c r="S147" s="167">
        <f>10.22+51.46</f>
        <v>61.68</v>
      </c>
      <c r="T147" s="127">
        <v>37470</v>
      </c>
    </row>
    <row r="148" spans="16:20" ht="12.75">
      <c r="P148" s="123">
        <v>37461</v>
      </c>
      <c r="Q148" s="141" t="s">
        <v>389</v>
      </c>
      <c r="R148" s="108"/>
      <c r="S148" s="167">
        <f>9.45+17.85</f>
        <v>27.3</v>
      </c>
      <c r="T148" s="127">
        <v>37470</v>
      </c>
    </row>
    <row r="149" spans="16:20" ht="12.75">
      <c r="P149" s="123">
        <v>37461</v>
      </c>
      <c r="Q149" s="141" t="s">
        <v>669</v>
      </c>
      <c r="R149" s="108"/>
      <c r="S149" s="167">
        <f>33+33+3.37+16.98</f>
        <v>86.35000000000001</v>
      </c>
      <c r="T149" s="127">
        <v>37470</v>
      </c>
    </row>
    <row r="150" spans="16:20" ht="12.75">
      <c r="P150" s="123">
        <v>37462</v>
      </c>
      <c r="Q150" s="141" t="s">
        <v>1377</v>
      </c>
      <c r="R150" s="108" t="s">
        <v>373</v>
      </c>
      <c r="S150" s="167">
        <f>4275+9+9+9+28+175+28+9+28+28+9+9+10+10+22+9+9</f>
        <v>4676</v>
      </c>
      <c r="T150" s="127">
        <v>37470</v>
      </c>
    </row>
    <row r="151" spans="16:20" ht="12.75">
      <c r="P151" s="123">
        <v>37462</v>
      </c>
      <c r="Q151" s="141" t="s">
        <v>389</v>
      </c>
      <c r="R151" s="108"/>
      <c r="S151" s="167">
        <f>20+44</f>
        <v>64</v>
      </c>
      <c r="T151" s="127">
        <v>37470</v>
      </c>
    </row>
    <row r="152" spans="16:20" ht="12.75">
      <c r="P152" s="123">
        <v>37462</v>
      </c>
      <c r="Q152" s="141" t="s">
        <v>669</v>
      </c>
      <c r="R152" s="108"/>
      <c r="S152" s="167">
        <f>33+33</f>
        <v>66</v>
      </c>
      <c r="T152" s="127">
        <v>37470</v>
      </c>
    </row>
    <row r="153" spans="16:20" ht="12.75">
      <c r="P153" s="123">
        <v>37463</v>
      </c>
      <c r="Q153" s="141" t="s">
        <v>1377</v>
      </c>
      <c r="R153" s="108" t="s">
        <v>373</v>
      </c>
      <c r="S153" s="167">
        <f>85.1+16+259.2+122+13.77+15.27</f>
        <v>511.3399999999999</v>
      </c>
      <c r="T153" s="127">
        <v>37470</v>
      </c>
    </row>
    <row r="154" spans="16:20" ht="12.75">
      <c r="P154" s="123">
        <v>37463</v>
      </c>
      <c r="Q154" s="141" t="s">
        <v>389</v>
      </c>
      <c r="R154" s="108"/>
      <c r="S154" s="167">
        <f>23.68+6+3.87</f>
        <v>33.55</v>
      </c>
      <c r="T154" s="127">
        <v>37470</v>
      </c>
    </row>
    <row r="155" spans="16:20" ht="12.75">
      <c r="P155" s="123">
        <v>37463</v>
      </c>
      <c r="Q155" s="141" t="s">
        <v>669</v>
      </c>
      <c r="R155" s="108"/>
      <c r="S155" s="167">
        <f>33+33+33+9.58</f>
        <v>108.58</v>
      </c>
      <c r="T155" s="127">
        <v>37470</v>
      </c>
    </row>
    <row r="156" spans="16:20" ht="12.75">
      <c r="P156" s="123">
        <v>37488</v>
      </c>
      <c r="Q156" s="141" t="s">
        <v>1384</v>
      </c>
      <c r="R156" s="108" t="s">
        <v>373</v>
      </c>
      <c r="S156" s="167">
        <f>190+30</f>
        <v>220</v>
      </c>
      <c r="T156" s="127">
        <v>37470</v>
      </c>
    </row>
    <row r="157" spans="16:20" ht="12.75">
      <c r="P157" s="123">
        <v>37488</v>
      </c>
      <c r="Q157" s="141" t="s">
        <v>1377</v>
      </c>
      <c r="R157" s="108" t="s">
        <v>373</v>
      </c>
      <c r="S157" s="167">
        <f>35.8+253.59+168.4+48+9.35+15.28+11.7+13.77+22.17+28.23+36.01</f>
        <v>642.3</v>
      </c>
      <c r="T157" s="127">
        <v>37470</v>
      </c>
    </row>
    <row r="158" spans="16:20" ht="12.75">
      <c r="P158" s="123">
        <v>37488</v>
      </c>
      <c r="Q158" s="141" t="s">
        <v>1385</v>
      </c>
      <c r="R158" s="108" t="s">
        <v>373</v>
      </c>
      <c r="S158" s="167">
        <v>4750</v>
      </c>
      <c r="T158" s="127">
        <v>37470</v>
      </c>
    </row>
    <row r="159" spans="16:20" ht="12.75">
      <c r="P159" s="123">
        <v>37488</v>
      </c>
      <c r="Q159" s="141" t="s">
        <v>1386</v>
      </c>
      <c r="R159" s="108" t="s">
        <v>373</v>
      </c>
      <c r="S159" s="167">
        <v>575</v>
      </c>
      <c r="T159" s="127">
        <v>37470</v>
      </c>
    </row>
    <row r="160" spans="16:20" ht="12.75">
      <c r="P160" s="123">
        <v>37488</v>
      </c>
      <c r="Q160" s="141" t="s">
        <v>389</v>
      </c>
      <c r="R160" s="108"/>
      <c r="S160" s="167">
        <f>21.18+11.24+3+27.43+5.85+3.37+24.04+24.28</f>
        <v>120.39000000000001</v>
      </c>
      <c r="T160" s="127">
        <v>37470</v>
      </c>
    </row>
    <row r="161" spans="16:20" ht="12.75">
      <c r="P161" s="123">
        <v>37488</v>
      </c>
      <c r="Q161" s="141" t="s">
        <v>669</v>
      </c>
      <c r="R161" s="108"/>
      <c r="S161" s="167">
        <f>33+33+11.81+33+33+15.84+33+33+11.88</f>
        <v>237.53</v>
      </c>
      <c r="T161" s="127">
        <v>37470</v>
      </c>
    </row>
    <row r="162" spans="16:20" ht="12.75">
      <c r="P162" s="123">
        <v>37489</v>
      </c>
      <c r="Q162" s="141" t="s">
        <v>1377</v>
      </c>
      <c r="R162" s="108" t="s">
        <v>373</v>
      </c>
      <c r="S162" s="167">
        <f>90+22.9+40.28+8.48+11.38+16.8+211.6+6+0.81+93+60.68+5.39+105.93</f>
        <v>673.25</v>
      </c>
      <c r="T162" s="127">
        <v>37470</v>
      </c>
    </row>
    <row r="163" spans="16:20" ht="12.75">
      <c r="P163" s="123">
        <v>37489</v>
      </c>
      <c r="Q163" s="141" t="s">
        <v>389</v>
      </c>
      <c r="R163" s="108"/>
      <c r="S163" s="167">
        <f>24.03+29.57+5.4+24.28+25.03+37.88+12.23</f>
        <v>158.42</v>
      </c>
      <c r="T163" s="127">
        <v>37470</v>
      </c>
    </row>
    <row r="164" spans="16:21" ht="12.75">
      <c r="P164" s="123">
        <v>37488</v>
      </c>
      <c r="Q164" s="141" t="s">
        <v>669</v>
      </c>
      <c r="R164" s="108"/>
      <c r="S164" s="167">
        <f>33+12.1+33+2.25+33+33+33</f>
        <v>179.35</v>
      </c>
      <c r="T164" s="127">
        <v>37470</v>
      </c>
      <c r="U164" s="136">
        <f>SUM(S145:S164)</f>
        <v>14775.04</v>
      </c>
    </row>
    <row r="165" spans="16:20" ht="12.75">
      <c r="P165" s="123">
        <v>37510</v>
      </c>
      <c r="Q165" s="141" t="s">
        <v>1379</v>
      </c>
      <c r="R165" s="108" t="s">
        <v>928</v>
      </c>
      <c r="S165" s="167">
        <f>4450+350</f>
        <v>4800</v>
      </c>
      <c r="T165" s="127">
        <v>37500</v>
      </c>
    </row>
    <row r="166" spans="16:20" ht="12.75">
      <c r="P166" s="123">
        <v>37510</v>
      </c>
      <c r="Q166" s="141" t="s">
        <v>923</v>
      </c>
      <c r="R166" s="108"/>
      <c r="S166" s="167">
        <v>812</v>
      </c>
      <c r="T166" s="127">
        <v>37500</v>
      </c>
    </row>
    <row r="167" spans="16:20" ht="12.75">
      <c r="P167" s="123">
        <v>37510</v>
      </c>
      <c r="Q167" s="141" t="s">
        <v>1377</v>
      </c>
      <c r="R167" s="108" t="s">
        <v>373</v>
      </c>
      <c r="S167" s="167">
        <f>60+57.5</f>
        <v>117.5</v>
      </c>
      <c r="T167" s="127">
        <v>37500</v>
      </c>
    </row>
    <row r="168" spans="16:20" ht="12.75">
      <c r="P168" s="123">
        <v>37510</v>
      </c>
      <c r="Q168" s="141" t="s">
        <v>389</v>
      </c>
      <c r="R168" s="108"/>
      <c r="S168" s="167">
        <f>16.5+24.13</f>
        <v>40.629999999999995</v>
      </c>
      <c r="T168" s="127">
        <v>37500</v>
      </c>
    </row>
    <row r="169" spans="16:20" ht="12.75">
      <c r="P169" s="123">
        <v>37510</v>
      </c>
      <c r="Q169" s="141" t="s">
        <v>669</v>
      </c>
      <c r="R169" s="108"/>
      <c r="S169" s="167">
        <v>99</v>
      </c>
      <c r="T169" s="127">
        <v>37500</v>
      </c>
    </row>
    <row r="170" spans="16:20" ht="12.75">
      <c r="P170" s="123">
        <v>37512</v>
      </c>
      <c r="Q170" s="141" t="s">
        <v>1377</v>
      </c>
      <c r="R170" s="108" t="s">
        <v>373</v>
      </c>
      <c r="S170" s="167">
        <f>0.72+0.62+0.16</f>
        <v>1.4999999999999998</v>
      </c>
      <c r="T170" s="127">
        <v>37500</v>
      </c>
    </row>
    <row r="171" spans="16:20" ht="12.75">
      <c r="P171" s="123">
        <v>37512</v>
      </c>
      <c r="Q171" s="141" t="s">
        <v>924</v>
      </c>
      <c r="R171" s="108" t="s">
        <v>347</v>
      </c>
      <c r="S171" s="167">
        <v>2481.48</v>
      </c>
      <c r="T171" s="127">
        <v>37500</v>
      </c>
    </row>
    <row r="172" spans="16:22" ht="12.75">
      <c r="P172" s="123">
        <v>37512</v>
      </c>
      <c r="Q172" s="141" t="s">
        <v>669</v>
      </c>
      <c r="R172" s="108"/>
      <c r="S172" s="167">
        <v>33</v>
      </c>
      <c r="T172" s="127">
        <v>37500</v>
      </c>
      <c r="U172" s="136">
        <f>SUM(S165:S172)</f>
        <v>8385.11</v>
      </c>
      <c r="V172" s="136">
        <f>U172-S171</f>
        <v>5903.630000000001</v>
      </c>
    </row>
    <row r="173" spans="16:20" ht="12.75">
      <c r="P173" s="123">
        <v>37544</v>
      </c>
      <c r="Q173" s="141" t="s">
        <v>925</v>
      </c>
      <c r="R173" s="108" t="s">
        <v>347</v>
      </c>
      <c r="S173" s="167">
        <v>300</v>
      </c>
      <c r="T173" s="127">
        <v>37530</v>
      </c>
    </row>
    <row r="174" spans="16:20" ht="12.75">
      <c r="P174" s="123">
        <v>37544</v>
      </c>
      <c r="Q174" s="141" t="s">
        <v>1377</v>
      </c>
      <c r="R174" s="108" t="s">
        <v>347</v>
      </c>
      <c r="S174" s="167">
        <f>38+9+25.3+21.4+29.7+8.04+167.28</f>
        <v>298.72</v>
      </c>
      <c r="T174" s="127">
        <v>37530</v>
      </c>
    </row>
    <row r="175" spans="16:20" ht="12.75">
      <c r="P175" s="123">
        <v>37544</v>
      </c>
      <c r="Q175" s="141" t="s">
        <v>926</v>
      </c>
      <c r="R175" s="108"/>
      <c r="S175" s="167">
        <v>37.43</v>
      </c>
      <c r="T175" s="127">
        <v>37530</v>
      </c>
    </row>
    <row r="176" spans="16:20" ht="12.75">
      <c r="P176" s="123">
        <v>37544</v>
      </c>
      <c r="Q176" s="141" t="s">
        <v>389</v>
      </c>
      <c r="R176" s="108"/>
      <c r="S176" s="167">
        <f>3.87+16.25+3.87+24.03</f>
        <v>48.02</v>
      </c>
      <c r="T176" s="127">
        <v>37530</v>
      </c>
    </row>
    <row r="177" spans="16:20" ht="12.75">
      <c r="P177" s="123">
        <v>37544</v>
      </c>
      <c r="Q177" s="141" t="s">
        <v>669</v>
      </c>
      <c r="R177" s="108"/>
      <c r="S177" s="167">
        <f>15.53+33+12.54+30.84+33</f>
        <v>124.91</v>
      </c>
      <c r="T177" s="127">
        <v>37530</v>
      </c>
    </row>
    <row r="178" spans="16:21" ht="12.75">
      <c r="P178" s="123">
        <v>37545</v>
      </c>
      <c r="Q178" s="141" t="s">
        <v>926</v>
      </c>
      <c r="R178" s="108"/>
      <c r="S178" s="167">
        <v>27.54</v>
      </c>
      <c r="T178" s="127">
        <v>37530</v>
      </c>
      <c r="U178" s="136">
        <f>SUM(S173:S178)</f>
        <v>836.6199999999999</v>
      </c>
    </row>
    <row r="179" spans="16:20" ht="12.75">
      <c r="P179" s="123">
        <v>37587</v>
      </c>
      <c r="Q179" s="141" t="s">
        <v>927</v>
      </c>
      <c r="R179" s="108" t="s">
        <v>928</v>
      </c>
      <c r="S179" s="167">
        <v>690</v>
      </c>
      <c r="T179" s="127">
        <v>37561</v>
      </c>
    </row>
    <row r="180" spans="16:20" ht="12.75">
      <c r="P180" s="123">
        <v>37587</v>
      </c>
      <c r="Q180" s="141" t="s">
        <v>1166</v>
      </c>
      <c r="R180" s="108"/>
      <c r="S180" s="167">
        <v>1803</v>
      </c>
      <c r="T180" s="127">
        <v>37561</v>
      </c>
    </row>
    <row r="181" spans="16:20" ht="12.75">
      <c r="P181" s="123">
        <v>37587</v>
      </c>
      <c r="Q181" s="141" t="s">
        <v>1377</v>
      </c>
      <c r="R181" s="108" t="s">
        <v>347</v>
      </c>
      <c r="S181" s="167">
        <f>20.3+10.26+3.2+13.68+7.14+8.4+7.36+24.2+4+14.04+5.35+15.84+2.6+83.76</f>
        <v>220.13</v>
      </c>
      <c r="T181" s="127">
        <v>37561</v>
      </c>
    </row>
    <row r="182" spans="16:20" ht="12.75">
      <c r="P182" s="123">
        <v>37587</v>
      </c>
      <c r="Q182" s="141" t="s">
        <v>389</v>
      </c>
      <c r="R182" s="108"/>
      <c r="S182" s="167">
        <f>16+27.15</f>
        <v>43.15</v>
      </c>
      <c r="T182" s="127">
        <v>37561</v>
      </c>
    </row>
    <row r="183" spans="16:21" ht="12.75">
      <c r="P183" s="123">
        <v>37587</v>
      </c>
      <c r="Q183" s="141" t="s">
        <v>669</v>
      </c>
      <c r="R183" s="108"/>
      <c r="S183" s="167">
        <f>99</f>
        <v>99</v>
      </c>
      <c r="T183" s="127">
        <v>37561</v>
      </c>
      <c r="U183" s="136">
        <f>SUM(S179:S183)</f>
        <v>2855.28</v>
      </c>
    </row>
    <row r="184" spans="16:20" ht="12.75">
      <c r="P184" s="123">
        <v>37609</v>
      </c>
      <c r="Q184" s="141" t="s">
        <v>408</v>
      </c>
      <c r="R184" s="108"/>
      <c r="S184" s="167">
        <v>105</v>
      </c>
      <c r="T184" s="127"/>
    </row>
    <row r="185" spans="16:20" ht="12.75">
      <c r="P185" s="123">
        <v>37609</v>
      </c>
      <c r="Q185" s="141" t="s">
        <v>389</v>
      </c>
      <c r="R185" s="108"/>
      <c r="S185" s="167">
        <v>11.9</v>
      </c>
      <c r="T185" s="127"/>
    </row>
    <row r="186" spans="16:20" ht="12.75">
      <c r="P186" s="123">
        <v>37609</v>
      </c>
      <c r="Q186" s="141" t="s">
        <v>669</v>
      </c>
      <c r="R186" s="108"/>
      <c r="S186" s="167">
        <v>33</v>
      </c>
      <c r="T186" s="127"/>
    </row>
    <row r="187" spans="16:20" ht="12.75">
      <c r="P187" s="123">
        <v>37627</v>
      </c>
      <c r="Q187" s="141" t="s">
        <v>755</v>
      </c>
      <c r="R187" s="108"/>
      <c r="S187" s="167">
        <f>2.42+7.51+1.39</f>
        <v>11.32</v>
      </c>
      <c r="T187" s="127"/>
    </row>
    <row r="188" spans="16:20" ht="12.75">
      <c r="P188" s="123">
        <v>37627</v>
      </c>
      <c r="Q188" s="141" t="s">
        <v>669</v>
      </c>
      <c r="R188" s="108"/>
      <c r="S188" s="167">
        <f>12.77+3.19</f>
        <v>15.959999999999999</v>
      </c>
      <c r="T188" s="127"/>
    </row>
    <row r="189" spans="16:20" ht="12.75">
      <c r="P189" s="123">
        <v>37634</v>
      </c>
      <c r="Q189" s="141" t="s">
        <v>409</v>
      </c>
      <c r="R189" s="108"/>
      <c r="S189" s="167">
        <v>-116.9</v>
      </c>
      <c r="T189" s="127"/>
    </row>
    <row r="190" spans="16:20" ht="12.75">
      <c r="P190" s="123">
        <v>37645</v>
      </c>
      <c r="Q190" s="141" t="s">
        <v>408</v>
      </c>
      <c r="R190" s="108"/>
      <c r="S190" s="167">
        <v>105</v>
      </c>
      <c r="T190" s="127"/>
    </row>
    <row r="191" spans="16:20" ht="12.75">
      <c r="P191" s="123">
        <v>37645</v>
      </c>
      <c r="Q191" s="141" t="s">
        <v>1377</v>
      </c>
      <c r="R191" s="108"/>
      <c r="S191" s="167">
        <f>28.68+168</f>
        <v>196.68</v>
      </c>
      <c r="T191" s="127"/>
    </row>
    <row r="192" spans="16:20" ht="12.75">
      <c r="P192" s="123">
        <v>37645</v>
      </c>
      <c r="Q192" s="141" t="s">
        <v>389</v>
      </c>
      <c r="R192" s="108"/>
      <c r="S192" s="167">
        <f>14.26+27.14</f>
        <v>41.4</v>
      </c>
      <c r="T192" s="127"/>
    </row>
    <row r="193" spans="16:20" ht="12.75">
      <c r="P193" s="123">
        <v>37645</v>
      </c>
      <c r="Q193" s="141" t="s">
        <v>669</v>
      </c>
      <c r="R193" s="108"/>
      <c r="S193" s="167">
        <f>33+33+9.46</f>
        <v>75.46000000000001</v>
      </c>
      <c r="T193" s="127"/>
    </row>
    <row r="194" spans="16:20" ht="12.75">
      <c r="P194" s="123">
        <v>37677</v>
      </c>
      <c r="Q194" s="141" t="s">
        <v>755</v>
      </c>
      <c r="R194" s="108"/>
      <c r="S194" s="167">
        <f>9.98+1.62</f>
        <v>11.600000000000001</v>
      </c>
      <c r="T194" s="127"/>
    </row>
    <row r="195" spans="16:19" ht="12.75">
      <c r="P195" s="123">
        <v>37677</v>
      </c>
      <c r="Q195" s="141" t="s">
        <v>669</v>
      </c>
      <c r="R195" s="108"/>
      <c r="S195" s="167">
        <v>6.38</v>
      </c>
    </row>
    <row r="196" spans="16:19" ht="12.75">
      <c r="P196" s="123">
        <v>37679</v>
      </c>
      <c r="Q196" s="141" t="s">
        <v>755</v>
      </c>
      <c r="R196" s="108"/>
      <c r="S196" s="167">
        <f>26+31.2</f>
        <v>57.2</v>
      </c>
    </row>
    <row r="197" spans="16:19" ht="12.75">
      <c r="P197" s="123">
        <v>37679</v>
      </c>
      <c r="Q197" s="141" t="s">
        <v>410</v>
      </c>
      <c r="R197" s="108"/>
      <c r="S197" s="167">
        <f>88+310+11.9+324+15+86+86+62+325.71</f>
        <v>1308.61</v>
      </c>
    </row>
    <row r="198" spans="16:19" ht="12.75">
      <c r="P198" s="123">
        <v>37679</v>
      </c>
      <c r="Q198" s="141" t="s">
        <v>389</v>
      </c>
      <c r="R198" s="108"/>
      <c r="S198" s="167">
        <f>70.61</f>
        <v>70.61</v>
      </c>
    </row>
    <row r="199" spans="16:19" ht="12.75">
      <c r="P199" s="123">
        <v>37679</v>
      </c>
      <c r="Q199" s="141" t="s">
        <v>669</v>
      </c>
      <c r="R199" s="108"/>
      <c r="S199" s="167">
        <f>18.88+33</f>
        <v>51.879999999999995</v>
      </c>
    </row>
    <row r="200" spans="16:19" ht="12.75">
      <c r="P200" s="123">
        <v>37680</v>
      </c>
      <c r="Q200" s="141" t="s">
        <v>411</v>
      </c>
      <c r="R200" s="108"/>
      <c r="S200" s="167">
        <v>20</v>
      </c>
    </row>
    <row r="201" spans="16:19" ht="12.75">
      <c r="P201" s="123">
        <v>37680</v>
      </c>
      <c r="Q201" s="141" t="s">
        <v>669</v>
      </c>
      <c r="R201" s="108"/>
      <c r="S201" s="167">
        <v>6.6</v>
      </c>
    </row>
    <row r="202" spans="16:19" ht="12.75">
      <c r="P202" s="123">
        <v>37683</v>
      </c>
      <c r="Q202" s="141" t="s">
        <v>755</v>
      </c>
      <c r="R202" s="108"/>
      <c r="S202" s="167">
        <v>1.39</v>
      </c>
    </row>
    <row r="203" spans="16:19" ht="12.75">
      <c r="P203" s="123">
        <v>37683</v>
      </c>
      <c r="Q203" s="141" t="s">
        <v>669</v>
      </c>
      <c r="R203" s="108"/>
      <c r="S203" s="167">
        <v>6.38</v>
      </c>
    </row>
    <row r="204" spans="16:19" ht="12.75">
      <c r="P204" s="123">
        <v>37686</v>
      </c>
      <c r="Q204" s="141" t="s">
        <v>755</v>
      </c>
      <c r="R204" s="108"/>
      <c r="S204" s="167">
        <v>2</v>
      </c>
    </row>
    <row r="205" spans="16:19" ht="12.75">
      <c r="P205" s="123">
        <v>37686</v>
      </c>
      <c r="Q205" s="141" t="s">
        <v>669</v>
      </c>
      <c r="R205" s="108"/>
      <c r="S205" s="167">
        <v>3.19</v>
      </c>
    </row>
    <row r="206" spans="16:19" ht="12.75">
      <c r="P206" s="123">
        <v>37691</v>
      </c>
      <c r="Q206" s="141" t="s">
        <v>412</v>
      </c>
      <c r="R206" s="108"/>
      <c r="S206" s="167">
        <f>1665.2+610+450+600+600</f>
        <v>3925.2</v>
      </c>
    </row>
    <row r="207" spans="16:19" ht="12.75">
      <c r="P207" s="123">
        <v>37691</v>
      </c>
      <c r="Q207" s="141" t="s">
        <v>669</v>
      </c>
      <c r="R207" s="108"/>
      <c r="S207" s="167">
        <v>33</v>
      </c>
    </row>
    <row r="208" spans="16:19" ht="12.75">
      <c r="P208" s="123">
        <v>37692</v>
      </c>
      <c r="Q208" s="141" t="s">
        <v>755</v>
      </c>
      <c r="R208" s="108"/>
      <c r="S208" s="167">
        <v>2.5</v>
      </c>
    </row>
    <row r="209" spans="16:19" ht="12.75">
      <c r="P209" s="520" t="s">
        <v>227</v>
      </c>
      <c r="Q209" s="298"/>
      <c r="R209" s="114"/>
      <c r="S209" s="117">
        <f>SUM(S5:S208)</f>
        <v>103972.84</v>
      </c>
    </row>
    <row r="216" ht="12.75">
      <c r="R216" s="105">
        <f>S32+S33+S34</f>
        <v>5684.030000000001</v>
      </c>
    </row>
  </sheetData>
  <mergeCells count="2">
    <mergeCell ref="P3:S3"/>
    <mergeCell ref="A3:L3"/>
  </mergeCells>
  <printOptions/>
  <pageMargins left="0.75" right="0.75" top="1" bottom="1" header="0.5" footer="0.5"/>
  <pageSetup horizontalDpi="600" verticalDpi="600" orientation="landscape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9"/>
  <dimension ref="A1:H18"/>
  <sheetViews>
    <sheetView workbookViewId="0" topLeftCell="A1">
      <selection activeCell="I2" sqref="I2"/>
    </sheetView>
  </sheetViews>
  <sheetFormatPr defaultColWidth="9.140625" defaultRowHeight="12.75"/>
  <cols>
    <col min="1" max="1" width="8.7109375" style="0" bestFit="1" customWidth="1"/>
    <col min="2" max="4" width="10.140625" style="0" bestFit="1" customWidth="1"/>
    <col min="5" max="5" width="9.421875" style="0" bestFit="1" customWidth="1"/>
    <col min="6" max="8" width="10.140625" style="0" bestFit="1" customWidth="1"/>
  </cols>
  <sheetData>
    <row r="1" spans="1:2" ht="12.75">
      <c r="A1" t="s">
        <v>1230</v>
      </c>
      <c r="B1">
        <v>0.48</v>
      </c>
    </row>
    <row r="4" spans="1:8" ht="12.75">
      <c r="A4" s="245"/>
      <c r="B4" s="505" t="s">
        <v>367</v>
      </c>
      <c r="C4" s="506"/>
      <c r="D4" s="507"/>
      <c r="E4" s="505" t="s">
        <v>1230</v>
      </c>
      <c r="F4" s="506"/>
      <c r="G4" s="507"/>
      <c r="H4" s="246"/>
    </row>
    <row r="5" spans="1:8" ht="12.75">
      <c r="A5" s="184" t="s">
        <v>353</v>
      </c>
      <c r="B5" s="184" t="s">
        <v>1227</v>
      </c>
      <c r="C5" s="106" t="s">
        <v>1228</v>
      </c>
      <c r="D5" s="219" t="s">
        <v>237</v>
      </c>
      <c r="E5" s="184" t="s">
        <v>1229</v>
      </c>
      <c r="F5" s="106" t="s">
        <v>1228</v>
      </c>
      <c r="G5" s="219" t="s">
        <v>237</v>
      </c>
      <c r="H5" s="219" t="s">
        <v>237</v>
      </c>
    </row>
    <row r="6" spans="1:8" ht="12.75">
      <c r="A6" s="247">
        <v>36892</v>
      </c>
      <c r="B6" s="242">
        <f>'Jan 01'!B20</f>
        <v>690.5</v>
      </c>
      <c r="C6" s="240">
        <f>'Jan 01'!B26</f>
        <v>808.98</v>
      </c>
      <c r="D6" s="220">
        <f>SUM(B6:C6)</f>
        <v>1499.48</v>
      </c>
      <c r="E6" s="242">
        <f>$B$1*B6</f>
        <v>331.44</v>
      </c>
      <c r="F6" s="240">
        <f>$B$1*C6</f>
        <v>388.3104</v>
      </c>
      <c r="G6" s="220">
        <f>SUM(E6:F6)</f>
        <v>719.7504</v>
      </c>
      <c r="H6" s="220">
        <f>D6+G6</f>
        <v>2219.2304</v>
      </c>
    </row>
    <row r="7" spans="1:8" ht="12.75">
      <c r="A7" s="247">
        <v>36923</v>
      </c>
      <c r="B7" s="242">
        <f>'Feb 01'!B18</f>
        <v>1495.53</v>
      </c>
      <c r="C7" s="240">
        <f>'Feb 01'!B26</f>
        <v>2329.84</v>
      </c>
      <c r="D7" s="220">
        <f aca="true" t="shared" si="0" ref="D7:D17">SUM(B7:C7)</f>
        <v>3825.37</v>
      </c>
      <c r="E7" s="242">
        <f aca="true" t="shared" si="1" ref="E7:E17">$B$1*B7</f>
        <v>717.8543999999999</v>
      </c>
      <c r="F7" s="240">
        <f aca="true" t="shared" si="2" ref="F7:F17">$B$1*C7</f>
        <v>1118.3232</v>
      </c>
      <c r="G7" s="220">
        <f aca="true" t="shared" si="3" ref="G7:G17">SUM(E7:F7)</f>
        <v>1836.1776</v>
      </c>
      <c r="H7" s="220">
        <f aca="true" t="shared" si="4" ref="H7:H17">D7+G7</f>
        <v>5661.5476</v>
      </c>
    </row>
    <row r="8" spans="1:8" ht="12.75">
      <c r="A8" s="247">
        <v>36951</v>
      </c>
      <c r="B8" s="242">
        <f>'Mar 01'!B22</f>
        <v>3220.36</v>
      </c>
      <c r="C8" s="240">
        <f>'Mar 01'!B35</f>
        <v>3164.57</v>
      </c>
      <c r="D8" s="220">
        <f t="shared" si="0"/>
        <v>6384.93</v>
      </c>
      <c r="E8" s="242">
        <f t="shared" si="1"/>
        <v>1545.7728</v>
      </c>
      <c r="F8" s="240">
        <f t="shared" si="2"/>
        <v>1518.9936</v>
      </c>
      <c r="G8" s="220">
        <f t="shared" si="3"/>
        <v>3064.7664</v>
      </c>
      <c r="H8" s="220">
        <f t="shared" si="4"/>
        <v>9449.6964</v>
      </c>
    </row>
    <row r="9" spans="1:8" ht="12.75">
      <c r="A9" s="247">
        <v>36982</v>
      </c>
      <c r="B9" s="242">
        <f>'Apr 01'!B18</f>
        <v>1505.0500000000002</v>
      </c>
      <c r="C9" s="240">
        <f>'Apr 01'!B27</f>
        <v>959.4100000000001</v>
      </c>
      <c r="D9" s="220">
        <f t="shared" si="0"/>
        <v>2464.46</v>
      </c>
      <c r="E9" s="242">
        <f t="shared" si="1"/>
        <v>722.4240000000001</v>
      </c>
      <c r="F9" s="240">
        <f t="shared" si="2"/>
        <v>460.51680000000005</v>
      </c>
      <c r="G9" s="220">
        <f t="shared" si="3"/>
        <v>1182.9408</v>
      </c>
      <c r="H9" s="220">
        <f t="shared" si="4"/>
        <v>3647.4008000000003</v>
      </c>
    </row>
    <row r="10" spans="1:8" ht="12.75">
      <c r="A10" s="247">
        <v>37012</v>
      </c>
      <c r="B10" s="242">
        <f>'May 01'!B18</f>
        <v>1958.6299999999999</v>
      </c>
      <c r="C10" s="240">
        <f>'May 01'!B30</f>
        <v>4769.68</v>
      </c>
      <c r="D10" s="220">
        <f t="shared" si="0"/>
        <v>6728.31</v>
      </c>
      <c r="E10" s="242">
        <f t="shared" si="1"/>
        <v>940.1424</v>
      </c>
      <c r="F10" s="240">
        <f t="shared" si="2"/>
        <v>2289.4464000000003</v>
      </c>
      <c r="G10" s="220">
        <f t="shared" si="3"/>
        <v>3229.5888000000004</v>
      </c>
      <c r="H10" s="220">
        <f t="shared" si="4"/>
        <v>9957.8988</v>
      </c>
    </row>
    <row r="11" spans="1:8" ht="12.75">
      <c r="A11" s="247">
        <v>37043</v>
      </c>
      <c r="B11" s="242">
        <f>'Jun 01'!B24</f>
        <v>781.61</v>
      </c>
      <c r="C11" s="240">
        <f>'Jun 01'!B32</f>
        <v>3293.96</v>
      </c>
      <c r="D11" s="220">
        <f t="shared" si="0"/>
        <v>4075.57</v>
      </c>
      <c r="E11" s="242">
        <f t="shared" si="1"/>
        <v>375.1728</v>
      </c>
      <c r="F11" s="240">
        <f t="shared" si="2"/>
        <v>1581.1008</v>
      </c>
      <c r="G11" s="220">
        <f t="shared" si="3"/>
        <v>1956.2736</v>
      </c>
      <c r="H11" s="220">
        <f t="shared" si="4"/>
        <v>6031.8436</v>
      </c>
    </row>
    <row r="12" spans="1:8" ht="12.75">
      <c r="A12" s="247">
        <v>37073</v>
      </c>
      <c r="B12" s="242">
        <f>'Jul 01'!B22+'Jul 01'!B20</f>
        <v>185</v>
      </c>
      <c r="C12" s="240">
        <f>'Jul 01'!B25</f>
        <v>4731.969999999999</v>
      </c>
      <c r="D12" s="220">
        <f t="shared" si="0"/>
        <v>4916.969999999999</v>
      </c>
      <c r="E12" s="242">
        <f t="shared" si="1"/>
        <v>88.8</v>
      </c>
      <c r="F12" s="240">
        <f t="shared" si="2"/>
        <v>2271.3455999999996</v>
      </c>
      <c r="G12" s="220">
        <f t="shared" si="3"/>
        <v>2360.1456</v>
      </c>
      <c r="H12" s="220">
        <f t="shared" si="4"/>
        <v>7277.115599999999</v>
      </c>
    </row>
    <row r="13" spans="1:8" ht="12.75">
      <c r="A13" s="247">
        <v>37104</v>
      </c>
      <c r="B13" s="242">
        <v>0</v>
      </c>
      <c r="C13" s="240">
        <f>'Aug 01'!B20</f>
        <v>1325.72</v>
      </c>
      <c r="D13" s="220">
        <f t="shared" si="0"/>
        <v>1325.72</v>
      </c>
      <c r="E13" s="242">
        <f t="shared" si="1"/>
        <v>0</v>
      </c>
      <c r="F13" s="240">
        <f t="shared" si="2"/>
        <v>636.3456</v>
      </c>
      <c r="G13" s="220">
        <f t="shared" si="3"/>
        <v>636.3456</v>
      </c>
      <c r="H13" s="220">
        <f t="shared" si="4"/>
        <v>1962.0656</v>
      </c>
    </row>
    <row r="14" spans="1:8" ht="12.75">
      <c r="A14" s="247">
        <v>37135</v>
      </c>
      <c r="B14" s="242">
        <f>'Sep 01'!B27</f>
        <v>230.3</v>
      </c>
      <c r="C14" s="240">
        <f>'Sep 01'!B29</f>
        <v>4.5</v>
      </c>
      <c r="D14" s="220">
        <f t="shared" si="0"/>
        <v>234.8</v>
      </c>
      <c r="E14" s="242">
        <f t="shared" si="1"/>
        <v>110.544</v>
      </c>
      <c r="F14" s="240">
        <f t="shared" si="2"/>
        <v>2.16</v>
      </c>
      <c r="G14" s="220">
        <f t="shared" si="3"/>
        <v>112.704</v>
      </c>
      <c r="H14" s="220">
        <f t="shared" si="4"/>
        <v>347.504</v>
      </c>
    </row>
    <row r="15" spans="1:8" ht="12.75">
      <c r="A15" s="247">
        <v>37165</v>
      </c>
      <c r="B15" s="242">
        <f>'Oct 01'!B27</f>
        <v>0</v>
      </c>
      <c r="C15" s="240">
        <f>'Oct 01'!B29</f>
        <v>1960.3899999999999</v>
      </c>
      <c r="D15" s="220">
        <f t="shared" si="0"/>
        <v>1960.3899999999999</v>
      </c>
      <c r="E15" s="242">
        <f t="shared" si="1"/>
        <v>0</v>
      </c>
      <c r="F15" s="240">
        <f t="shared" si="2"/>
        <v>940.9871999999999</v>
      </c>
      <c r="G15" s="220">
        <f t="shared" si="3"/>
        <v>940.9871999999999</v>
      </c>
      <c r="H15" s="220">
        <f t="shared" si="4"/>
        <v>2901.3772</v>
      </c>
    </row>
    <row r="16" spans="1:8" ht="12.75">
      <c r="A16" s="247">
        <v>37196</v>
      </c>
      <c r="B16" s="242">
        <f>'Nov 01'!B27</f>
        <v>312.56</v>
      </c>
      <c r="C16" s="240">
        <f>'Nov 01'!B29</f>
        <v>0</v>
      </c>
      <c r="D16" s="220">
        <f t="shared" si="0"/>
        <v>312.56</v>
      </c>
      <c r="E16" s="242">
        <f t="shared" si="1"/>
        <v>150.0288</v>
      </c>
      <c r="F16" s="240">
        <f t="shared" si="2"/>
        <v>0</v>
      </c>
      <c r="G16" s="220">
        <f t="shared" si="3"/>
        <v>150.0288</v>
      </c>
      <c r="H16" s="220">
        <f t="shared" si="4"/>
        <v>462.5888</v>
      </c>
    </row>
    <row r="17" spans="1:8" ht="12.75">
      <c r="A17" s="247">
        <v>37226</v>
      </c>
      <c r="B17" s="242">
        <f>'Dec 01'!B27</f>
        <v>536.1800000000001</v>
      </c>
      <c r="C17" s="240">
        <f>'Dec 01'!B32</f>
        <v>1933.15</v>
      </c>
      <c r="D17" s="220">
        <f t="shared" si="0"/>
        <v>2469.33</v>
      </c>
      <c r="E17" s="242">
        <f t="shared" si="1"/>
        <v>257.3664</v>
      </c>
      <c r="F17" s="240">
        <f t="shared" si="2"/>
        <v>927.912</v>
      </c>
      <c r="G17" s="220">
        <f t="shared" si="3"/>
        <v>1185.2784000000001</v>
      </c>
      <c r="H17" s="220">
        <f t="shared" si="4"/>
        <v>3654.6084</v>
      </c>
    </row>
    <row r="18" spans="1:8" ht="12.75">
      <c r="A18" s="221" t="s">
        <v>358</v>
      </c>
      <c r="B18" s="244">
        <f>SUM(B6:B17)</f>
        <v>10915.72</v>
      </c>
      <c r="C18" s="241">
        <f aca="true" t="shared" si="5" ref="C18:H18">SUM(C6:C17)</f>
        <v>25282.17</v>
      </c>
      <c r="D18" s="222">
        <f t="shared" si="5"/>
        <v>36197.89000000001</v>
      </c>
      <c r="E18" s="244">
        <f t="shared" si="5"/>
        <v>5239.5456</v>
      </c>
      <c r="F18" s="241">
        <f t="shared" si="5"/>
        <v>12135.4416</v>
      </c>
      <c r="G18" s="222">
        <f t="shared" si="5"/>
        <v>17374.987200000003</v>
      </c>
      <c r="H18" s="222">
        <f t="shared" si="5"/>
        <v>53572.877199999995</v>
      </c>
    </row>
  </sheetData>
  <mergeCells count="2">
    <mergeCell ref="B4:D4"/>
    <mergeCell ref="E4:G4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0">
    <outlinePr summaryBelow="0"/>
  </sheetPr>
  <dimension ref="B1:L72"/>
  <sheetViews>
    <sheetView workbookViewId="0" topLeftCell="A10">
      <selection activeCell="C68" sqref="C68"/>
    </sheetView>
  </sheetViews>
  <sheetFormatPr defaultColWidth="9.140625" defaultRowHeight="12.75" outlineLevelRow="1"/>
  <cols>
    <col min="2" max="2" width="20.57421875" style="0" customWidth="1"/>
    <col min="6" max="6" width="17.421875" style="0" customWidth="1"/>
    <col min="7" max="7" width="10.140625" style="0" bestFit="1" customWidth="1"/>
    <col min="11" max="11" width="11.00390625" style="0" customWidth="1"/>
  </cols>
  <sheetData>
    <row r="1" spans="2:3" ht="12.75">
      <c r="B1" t="s">
        <v>1034</v>
      </c>
      <c r="C1">
        <v>3</v>
      </c>
    </row>
    <row r="2" spans="2:3" ht="12.75">
      <c r="B2" t="s">
        <v>1035</v>
      </c>
      <c r="C2">
        <v>0.2</v>
      </c>
    </row>
    <row r="3" spans="3:12" ht="12.75">
      <c r="C3" t="s">
        <v>1036</v>
      </c>
      <c r="G3" t="s">
        <v>1037</v>
      </c>
      <c r="K3" t="s">
        <v>1045</v>
      </c>
      <c r="L3" s="203">
        <v>6200</v>
      </c>
    </row>
    <row r="4" spans="2:12" ht="12.75">
      <c r="B4" t="s">
        <v>1038</v>
      </c>
      <c r="C4" t="s">
        <v>211</v>
      </c>
      <c r="D4" t="s">
        <v>1039</v>
      </c>
      <c r="E4" t="s">
        <v>168</v>
      </c>
      <c r="F4" t="s">
        <v>1038</v>
      </c>
      <c r="G4" t="s">
        <v>211</v>
      </c>
      <c r="H4" t="s">
        <v>1039</v>
      </c>
      <c r="I4" t="s">
        <v>168</v>
      </c>
      <c r="K4" t="s">
        <v>1016</v>
      </c>
      <c r="L4" s="203">
        <f>I14</f>
        <v>5126</v>
      </c>
    </row>
    <row r="5" spans="2:12" ht="12.75">
      <c r="B5" t="s">
        <v>231</v>
      </c>
      <c r="C5">
        <v>1</v>
      </c>
      <c r="D5">
        <v>1200</v>
      </c>
      <c r="E5">
        <v>1200</v>
      </c>
      <c r="F5" t="s">
        <v>231</v>
      </c>
      <c r="G5">
        <v>2</v>
      </c>
      <c r="H5" s="203">
        <v>1200</v>
      </c>
      <c r="I5" s="203">
        <f>G5*H5</f>
        <v>2400</v>
      </c>
      <c r="K5" t="s">
        <v>1212</v>
      </c>
      <c r="L5" s="203">
        <v>5500</v>
      </c>
    </row>
    <row r="6" spans="2:12" ht="12.75">
      <c r="B6" t="s">
        <v>262</v>
      </c>
      <c r="C6">
        <v>1</v>
      </c>
      <c r="D6">
        <v>400</v>
      </c>
      <c r="E6">
        <v>400</v>
      </c>
      <c r="F6" t="s">
        <v>262</v>
      </c>
      <c r="G6">
        <v>1</v>
      </c>
      <c r="H6" s="203">
        <v>500</v>
      </c>
      <c r="I6" s="203">
        <f aca="true" t="shared" si="0" ref="I6:I13">G6*H6</f>
        <v>500</v>
      </c>
      <c r="K6" t="s">
        <v>1213</v>
      </c>
      <c r="L6" s="203">
        <v>3000</v>
      </c>
    </row>
    <row r="7" spans="2:12" ht="12.75">
      <c r="B7" t="s">
        <v>263</v>
      </c>
      <c r="C7">
        <v>1</v>
      </c>
      <c r="D7">
        <v>400</v>
      </c>
      <c r="E7">
        <v>400</v>
      </c>
      <c r="F7" t="s">
        <v>263</v>
      </c>
      <c r="G7">
        <v>1</v>
      </c>
      <c r="H7" s="203">
        <v>400</v>
      </c>
      <c r="I7" s="203">
        <f t="shared" si="0"/>
        <v>400</v>
      </c>
      <c r="K7" t="s">
        <v>1214</v>
      </c>
      <c r="L7" s="203">
        <v>100</v>
      </c>
    </row>
    <row r="8" spans="2:12" ht="12.75">
      <c r="B8" t="s">
        <v>1040</v>
      </c>
      <c r="C8">
        <v>8</v>
      </c>
      <c r="D8">
        <v>36</v>
      </c>
      <c r="E8">
        <v>288</v>
      </c>
      <c r="F8" t="s">
        <v>1040</v>
      </c>
      <c r="G8">
        <v>16</v>
      </c>
      <c r="H8" s="203">
        <v>36</v>
      </c>
      <c r="I8" s="203">
        <f t="shared" si="0"/>
        <v>576</v>
      </c>
      <c r="K8" t="s">
        <v>1044</v>
      </c>
      <c r="L8" s="203">
        <v>100</v>
      </c>
    </row>
    <row r="9" spans="2:12" ht="12.75">
      <c r="B9" t="s">
        <v>1041</v>
      </c>
      <c r="C9">
        <v>1</v>
      </c>
      <c r="D9">
        <v>25</v>
      </c>
      <c r="E9">
        <v>25</v>
      </c>
      <c r="F9" t="s">
        <v>1041</v>
      </c>
      <c r="G9">
        <v>2</v>
      </c>
      <c r="H9" s="203">
        <v>25</v>
      </c>
      <c r="I9" s="203">
        <f t="shared" si="0"/>
        <v>50</v>
      </c>
      <c r="K9" t="s">
        <v>1215</v>
      </c>
      <c r="L9" s="203">
        <v>300</v>
      </c>
    </row>
    <row r="10" spans="2:12" ht="12.75">
      <c r="B10" t="s">
        <v>230</v>
      </c>
      <c r="C10">
        <v>1</v>
      </c>
      <c r="D10">
        <v>200</v>
      </c>
      <c r="E10">
        <v>200</v>
      </c>
      <c r="F10" t="s">
        <v>230</v>
      </c>
      <c r="G10">
        <v>1</v>
      </c>
      <c r="H10" s="203">
        <v>200</v>
      </c>
      <c r="I10" s="203">
        <f t="shared" si="0"/>
        <v>200</v>
      </c>
      <c r="K10" t="s">
        <v>1216</v>
      </c>
      <c r="L10" s="203">
        <v>1500</v>
      </c>
    </row>
    <row r="11" spans="2:12" ht="12.75">
      <c r="B11" t="s">
        <v>1042</v>
      </c>
      <c r="C11">
        <v>8</v>
      </c>
      <c r="D11">
        <v>32.5</v>
      </c>
      <c r="E11">
        <v>260</v>
      </c>
      <c r="F11" t="s">
        <v>1042</v>
      </c>
      <c r="G11">
        <v>16</v>
      </c>
      <c r="H11" s="203">
        <v>40</v>
      </c>
      <c r="I11" s="203">
        <f t="shared" si="0"/>
        <v>640</v>
      </c>
      <c r="K11" t="s">
        <v>1217</v>
      </c>
      <c r="L11" s="203">
        <f>H21</f>
        <v>3551</v>
      </c>
    </row>
    <row r="12" spans="2:12" ht="12.75">
      <c r="B12" t="s">
        <v>1043</v>
      </c>
      <c r="C12">
        <v>1</v>
      </c>
      <c r="D12">
        <v>60</v>
      </c>
      <c r="E12">
        <v>60</v>
      </c>
      <c r="F12" t="s">
        <v>1043</v>
      </c>
      <c r="G12">
        <v>1</v>
      </c>
      <c r="H12" s="203">
        <v>160</v>
      </c>
      <c r="I12" s="203">
        <f t="shared" si="0"/>
        <v>160</v>
      </c>
      <c r="K12" t="s">
        <v>1218</v>
      </c>
      <c r="L12" s="203">
        <v>1500</v>
      </c>
    </row>
    <row r="13" spans="2:9" ht="12.75">
      <c r="B13" t="s">
        <v>235</v>
      </c>
      <c r="C13">
        <v>1</v>
      </c>
      <c r="D13">
        <v>200</v>
      </c>
      <c r="E13">
        <v>200</v>
      </c>
      <c r="F13" t="s">
        <v>235</v>
      </c>
      <c r="G13">
        <v>1</v>
      </c>
      <c r="H13" s="203">
        <v>200</v>
      </c>
      <c r="I13" s="203">
        <f t="shared" si="0"/>
        <v>200</v>
      </c>
    </row>
    <row r="14" spans="2:9" ht="12.75">
      <c r="B14" t="s">
        <v>237</v>
      </c>
      <c r="E14">
        <v>3033</v>
      </c>
      <c r="F14" t="s">
        <v>237</v>
      </c>
      <c r="H14" s="203"/>
      <c r="I14" s="203">
        <f>SUM(I5:I13)</f>
        <v>5126</v>
      </c>
    </row>
    <row r="16" spans="2:5" ht="12.75">
      <c r="B16" t="s">
        <v>1044</v>
      </c>
      <c r="C16">
        <v>1</v>
      </c>
      <c r="D16" s="203">
        <f>L8</f>
        <v>100</v>
      </c>
      <c r="E16" s="203">
        <f aca="true" t="shared" si="1" ref="E16:E21">D16</f>
        <v>100</v>
      </c>
    </row>
    <row r="17" spans="2:7" ht="12.75">
      <c r="B17" t="s">
        <v>1045</v>
      </c>
      <c r="C17">
        <v>1</v>
      </c>
      <c r="D17" s="203">
        <f>L3</f>
        <v>6200</v>
      </c>
      <c r="E17" s="203">
        <f t="shared" si="1"/>
        <v>6200</v>
      </c>
      <c r="G17" t="s">
        <v>1365</v>
      </c>
    </row>
    <row r="18" spans="2:9" ht="12.75">
      <c r="B18" t="s">
        <v>1046</v>
      </c>
      <c r="C18">
        <v>1</v>
      </c>
      <c r="D18" s="203">
        <f>L10</f>
        <v>1500</v>
      </c>
      <c r="E18" s="203">
        <f t="shared" si="1"/>
        <v>1500</v>
      </c>
      <c r="G18">
        <v>620</v>
      </c>
      <c r="H18" s="203">
        <v>3311</v>
      </c>
      <c r="I18" t="s">
        <v>1368</v>
      </c>
    </row>
    <row r="19" spans="2:9" ht="12.75">
      <c r="B19" t="s">
        <v>337</v>
      </c>
      <c r="C19">
        <v>1</v>
      </c>
      <c r="D19" s="203">
        <f>L5</f>
        <v>5500</v>
      </c>
      <c r="E19" s="203">
        <f t="shared" si="1"/>
        <v>5500</v>
      </c>
      <c r="G19" t="s">
        <v>1366</v>
      </c>
      <c r="H19" s="203">
        <v>90</v>
      </c>
      <c r="I19" t="s">
        <v>1369</v>
      </c>
    </row>
    <row r="20" spans="2:9" ht="12.75">
      <c r="B20" t="s">
        <v>338</v>
      </c>
      <c r="C20">
        <v>1</v>
      </c>
      <c r="D20" s="203">
        <f>L6</f>
        <v>3000</v>
      </c>
      <c r="E20" s="203">
        <f t="shared" si="1"/>
        <v>3000</v>
      </c>
      <c r="G20" t="s">
        <v>1367</v>
      </c>
      <c r="H20" s="203">
        <v>150</v>
      </c>
      <c r="I20" t="s">
        <v>1370</v>
      </c>
    </row>
    <row r="21" spans="2:8" ht="12.75">
      <c r="B21" t="s">
        <v>1047</v>
      </c>
      <c r="C21">
        <v>1</v>
      </c>
      <c r="D21" s="203">
        <v>80</v>
      </c>
      <c r="E21" s="203">
        <f t="shared" si="1"/>
        <v>80</v>
      </c>
      <c r="H21" s="203">
        <f>SUM(H18:H20)</f>
        <v>3551</v>
      </c>
    </row>
    <row r="22" spans="2:5" ht="12.75">
      <c r="B22" t="s">
        <v>1048</v>
      </c>
      <c r="C22">
        <v>2</v>
      </c>
      <c r="D22">
        <v>20</v>
      </c>
      <c r="E22">
        <v>40</v>
      </c>
    </row>
    <row r="26" ht="12.75">
      <c r="B26" t="s">
        <v>1220</v>
      </c>
    </row>
    <row r="27" spans="2:3" ht="12.75">
      <c r="B27" t="s">
        <v>1222</v>
      </c>
      <c r="C27" s="203">
        <f>L5</f>
        <v>5500</v>
      </c>
    </row>
    <row r="28" spans="2:3" ht="12.75">
      <c r="B28" t="s">
        <v>1223</v>
      </c>
      <c r="C28" s="203">
        <f>L12</f>
        <v>1500</v>
      </c>
    </row>
    <row r="29" spans="2:3" ht="12.75">
      <c r="B29" t="s">
        <v>1224</v>
      </c>
      <c r="C29" s="203">
        <f>L11</f>
        <v>3551</v>
      </c>
    </row>
    <row r="30" spans="2:3" ht="12.75">
      <c r="B30" t="s">
        <v>1221</v>
      </c>
      <c r="C30" s="203">
        <f>2*L4</f>
        <v>10252</v>
      </c>
    </row>
    <row r="31" spans="2:3" ht="12.75">
      <c r="B31" t="s">
        <v>1225</v>
      </c>
      <c r="C31" s="203">
        <f>L10</f>
        <v>1500</v>
      </c>
    </row>
    <row r="32" spans="2:3" ht="12.75">
      <c r="B32" t="s">
        <v>1226</v>
      </c>
      <c r="C32" s="203">
        <f>L3</f>
        <v>6200</v>
      </c>
    </row>
    <row r="33" spans="2:3" ht="12.75">
      <c r="B33" t="s">
        <v>237</v>
      </c>
      <c r="C33" s="203">
        <f>SUM(C27:C32)</f>
        <v>28503</v>
      </c>
    </row>
    <row r="35" spans="3:7" ht="12.75">
      <c r="C35" t="s">
        <v>1053</v>
      </c>
      <c r="D35" t="s">
        <v>1054</v>
      </c>
      <c r="E35" t="s">
        <v>1055</v>
      </c>
      <c r="F35" t="s">
        <v>1056</v>
      </c>
      <c r="G35" t="s">
        <v>237</v>
      </c>
    </row>
    <row r="36" ht="12.75">
      <c r="B36" t="s">
        <v>1016</v>
      </c>
    </row>
    <row r="37" spans="2:7" ht="12.75" outlineLevel="1">
      <c r="B37" s="297" t="s">
        <v>1050</v>
      </c>
      <c r="C37">
        <v>54</v>
      </c>
      <c r="D37">
        <v>54</v>
      </c>
      <c r="E37">
        <v>48</v>
      </c>
      <c r="F37">
        <v>38</v>
      </c>
      <c r="G37">
        <f>SUM(C37:F37)</f>
        <v>194</v>
      </c>
    </row>
    <row r="38" spans="2:7" ht="12.75" outlineLevel="1">
      <c r="B38" s="297" t="s">
        <v>1360</v>
      </c>
      <c r="C38">
        <f>INT($C$2*C37+0.5)</f>
        <v>11</v>
      </c>
      <c r="D38">
        <f>INT($C$2*D37+0.5)</f>
        <v>11</v>
      </c>
      <c r="E38">
        <f>INT($C$2*E37+0.5)</f>
        <v>10</v>
      </c>
      <c r="F38">
        <f>INT($C$2*F37+0.5)</f>
        <v>8</v>
      </c>
      <c r="G38">
        <f>INT($C$2*G37+0.5)</f>
        <v>39</v>
      </c>
    </row>
    <row r="39" ht="12.75" outlineLevel="1">
      <c r="B39" s="297" t="s">
        <v>1795</v>
      </c>
    </row>
    <row r="40" spans="2:7" ht="12.75">
      <c r="B40" s="297" t="s">
        <v>168</v>
      </c>
      <c r="G40" s="203">
        <f>$I$14*(G37+G38)/1000</f>
        <v>1194.358</v>
      </c>
    </row>
    <row r="41" ht="12.75">
      <c r="B41" t="s">
        <v>1044</v>
      </c>
    </row>
    <row r="42" spans="2:7" ht="12.75" outlineLevel="1">
      <c r="B42" s="297" t="s">
        <v>1050</v>
      </c>
      <c r="C42">
        <v>288</v>
      </c>
      <c r="D42">
        <v>216</v>
      </c>
      <c r="E42">
        <v>0</v>
      </c>
      <c r="F42">
        <v>18</v>
      </c>
      <c r="G42">
        <f>SUM(C42:F42)</f>
        <v>522</v>
      </c>
    </row>
    <row r="43" spans="2:7" ht="12.75" outlineLevel="1">
      <c r="B43" s="297" t="s">
        <v>1035</v>
      </c>
      <c r="C43">
        <f>INT($C$2*C42+0.5)</f>
        <v>58</v>
      </c>
      <c r="D43">
        <f>INT($C$2*D42+0.5)</f>
        <v>43</v>
      </c>
      <c r="E43">
        <f>INT($C$2*E42+0.5)</f>
        <v>0</v>
      </c>
      <c r="F43">
        <f>INT($C$2*F42+0.5)</f>
        <v>4</v>
      </c>
      <c r="G43">
        <f>INT($C$2*G42+0.5)</f>
        <v>104</v>
      </c>
    </row>
    <row r="44" spans="2:7" ht="12.75">
      <c r="B44" s="297" t="s">
        <v>168</v>
      </c>
      <c r="G44" s="203">
        <f>$L$8*(G42+G43)/1000</f>
        <v>62.6</v>
      </c>
    </row>
    <row r="45" ht="12.75">
      <c r="B45" t="s">
        <v>1215</v>
      </c>
    </row>
    <row r="46" spans="2:7" ht="12.75" outlineLevel="1">
      <c r="B46" s="297" t="s">
        <v>1050</v>
      </c>
      <c r="C46">
        <f>C37</f>
        <v>54</v>
      </c>
      <c r="D46">
        <f>D37</f>
        <v>54</v>
      </c>
      <c r="E46">
        <v>0</v>
      </c>
      <c r="F46">
        <f>F37</f>
        <v>38</v>
      </c>
      <c r="G46">
        <f>SUM(C46:F46)</f>
        <v>146</v>
      </c>
    </row>
    <row r="47" spans="2:7" ht="12.75" outlineLevel="1">
      <c r="B47" s="297" t="s">
        <v>1035</v>
      </c>
      <c r="C47">
        <f>INT($C$2*C46+0.5)</f>
        <v>11</v>
      </c>
      <c r="D47">
        <f>INT($C$2*D46+0.5)</f>
        <v>11</v>
      </c>
      <c r="E47">
        <f>INT($C$2*E46+0.5)</f>
        <v>0</v>
      </c>
      <c r="F47">
        <f>INT($C$2*F46+0.5)</f>
        <v>8</v>
      </c>
      <c r="G47">
        <f>INT($C$2*G46+0.5)</f>
        <v>29</v>
      </c>
    </row>
    <row r="48" spans="2:7" ht="12.75">
      <c r="B48" s="297" t="s">
        <v>168</v>
      </c>
      <c r="G48" s="203">
        <f>$L$9*(G46+G47)/1000</f>
        <v>52.5</v>
      </c>
    </row>
    <row r="49" spans="2:7" ht="12.75">
      <c r="B49" s="157" t="s">
        <v>1363</v>
      </c>
      <c r="G49" s="203"/>
    </row>
    <row r="50" spans="2:7" ht="12.75" outlineLevel="1">
      <c r="B50" s="297" t="s">
        <v>1052</v>
      </c>
      <c r="C50">
        <f>C42</f>
        <v>288</v>
      </c>
      <c r="D50">
        <f>D42</f>
        <v>216</v>
      </c>
      <c r="E50">
        <f>E42</f>
        <v>0</v>
      </c>
      <c r="F50">
        <f>F42</f>
        <v>18</v>
      </c>
      <c r="G50">
        <f>SUM(C50:F50)</f>
        <v>522</v>
      </c>
    </row>
    <row r="51" spans="2:7" ht="12.75">
      <c r="B51" s="297" t="s">
        <v>168</v>
      </c>
      <c r="G51" s="203">
        <f>$L$7*G50/1000</f>
        <v>52.2</v>
      </c>
    </row>
    <row r="52" ht="12.75">
      <c r="B52" t="s">
        <v>1361</v>
      </c>
    </row>
    <row r="53" spans="2:7" ht="12.75">
      <c r="B53" s="297" t="s">
        <v>1051</v>
      </c>
      <c r="C53">
        <v>2</v>
      </c>
      <c r="D53">
        <v>2</v>
      </c>
      <c r="E53">
        <v>2</v>
      </c>
      <c r="F53">
        <v>2</v>
      </c>
      <c r="G53">
        <f>SUM(C53:F53)</f>
        <v>8</v>
      </c>
    </row>
    <row r="54" spans="2:7" ht="12.75">
      <c r="B54" s="297" t="s">
        <v>168</v>
      </c>
      <c r="G54" s="203">
        <f>$L$6*G53/1000</f>
        <v>24</v>
      </c>
    </row>
    <row r="55" spans="2:7" ht="12.75">
      <c r="B55" s="297" t="s">
        <v>1219</v>
      </c>
      <c r="C55">
        <f>C53</f>
        <v>2</v>
      </c>
      <c r="D55">
        <f>D53</f>
        <v>2</v>
      </c>
      <c r="E55">
        <f>E53</f>
        <v>2</v>
      </c>
      <c r="F55">
        <f>F53</f>
        <v>2</v>
      </c>
      <c r="G55">
        <f>SUM(C55:F55)</f>
        <v>8</v>
      </c>
    </row>
    <row r="56" spans="2:7" ht="12.75">
      <c r="B56" s="297" t="s">
        <v>168</v>
      </c>
      <c r="G56" s="203">
        <f>$L$12*G55/1000</f>
        <v>12</v>
      </c>
    </row>
    <row r="57" spans="2:7" ht="12.75">
      <c r="B57" s="297" t="s">
        <v>1049</v>
      </c>
      <c r="C57">
        <v>5</v>
      </c>
      <c r="D57">
        <v>4</v>
      </c>
      <c r="E57">
        <v>4</v>
      </c>
      <c r="F57">
        <v>3</v>
      </c>
      <c r="G57">
        <f>SUM(C57:F57)</f>
        <v>16</v>
      </c>
    </row>
    <row r="58" spans="2:7" ht="12.75">
      <c r="B58" s="297" t="s">
        <v>168</v>
      </c>
      <c r="G58" s="203">
        <f>$L$5*G57/1000</f>
        <v>88</v>
      </c>
    </row>
    <row r="59" spans="2:7" ht="12.75">
      <c r="B59" s="297" t="s">
        <v>1217</v>
      </c>
      <c r="C59">
        <f>C57</f>
        <v>5</v>
      </c>
      <c r="D59">
        <f>D57</f>
        <v>4</v>
      </c>
      <c r="E59">
        <f>E57</f>
        <v>4</v>
      </c>
      <c r="F59">
        <f>F57</f>
        <v>3</v>
      </c>
      <c r="G59">
        <f>SUM(C59:F59)</f>
        <v>16</v>
      </c>
    </row>
    <row r="60" spans="2:7" ht="12.75">
      <c r="B60" s="297" t="s">
        <v>168</v>
      </c>
      <c r="G60" s="203" t="e">
        <f>($L$11+#REF!)*G59/1000</f>
        <v>#REF!</v>
      </c>
    </row>
    <row r="61" ht="12.75">
      <c r="B61" t="s">
        <v>1045</v>
      </c>
    </row>
    <row r="62" spans="2:7" ht="12.75" outlineLevel="1">
      <c r="B62" s="297" t="s">
        <v>1050</v>
      </c>
      <c r="C62">
        <f>2*C57</f>
        <v>10</v>
      </c>
      <c r="D62">
        <f>2*D57</f>
        <v>8</v>
      </c>
      <c r="E62">
        <f>2*E57</f>
        <v>8</v>
      </c>
      <c r="F62">
        <f>2*F57</f>
        <v>6</v>
      </c>
      <c r="G62">
        <f>SUM(C62:F62)</f>
        <v>32</v>
      </c>
    </row>
    <row r="63" spans="2:7" ht="12.75" outlineLevel="1">
      <c r="B63" s="297" t="s">
        <v>1360</v>
      </c>
      <c r="C63">
        <f>INT($C$2*C62+0.5)</f>
        <v>2</v>
      </c>
      <c r="D63">
        <f>INT($C$2*D62+0.5)</f>
        <v>2</v>
      </c>
      <c r="E63">
        <f>INT($C$2*E62+0.5)</f>
        <v>2</v>
      </c>
      <c r="F63">
        <f>INT($C$2*F62+0.5)</f>
        <v>1</v>
      </c>
      <c r="G63">
        <v>7</v>
      </c>
    </row>
    <row r="64" ht="12.75" outlineLevel="1">
      <c r="B64" s="297" t="s">
        <v>1795</v>
      </c>
    </row>
    <row r="65" spans="2:7" ht="12.75">
      <c r="B65" s="297" t="s">
        <v>168</v>
      </c>
      <c r="G65" s="203">
        <f>(G62+G63)*$L$3/1000</f>
        <v>241.8</v>
      </c>
    </row>
    <row r="66" ht="12.75">
      <c r="B66" t="s">
        <v>1362</v>
      </c>
    </row>
    <row r="67" spans="2:7" ht="12.75" outlineLevel="1">
      <c r="B67" s="297" t="s">
        <v>1050</v>
      </c>
      <c r="C67">
        <f>C57</f>
        <v>5</v>
      </c>
      <c r="D67">
        <f>D57</f>
        <v>4</v>
      </c>
      <c r="E67">
        <f>E57</f>
        <v>4</v>
      </c>
      <c r="F67">
        <f>F57</f>
        <v>3</v>
      </c>
      <c r="G67">
        <f>SUM(C67:F67)</f>
        <v>16</v>
      </c>
    </row>
    <row r="68" spans="2:7" ht="12.75" outlineLevel="1">
      <c r="B68" s="297" t="s">
        <v>1360</v>
      </c>
      <c r="C68">
        <f>INT($C$2*C67+0.5)</f>
        <v>1</v>
      </c>
      <c r="D68">
        <f>INT($C$2*D67+0.5)</f>
        <v>1</v>
      </c>
      <c r="E68">
        <f>INT($C$2*E67+0.5)</f>
        <v>1</v>
      </c>
      <c r="F68">
        <f>INT($C$2*F67+0.5)</f>
        <v>1</v>
      </c>
      <c r="G68">
        <f>INT($C$2*G67+0.5)</f>
        <v>3</v>
      </c>
    </row>
    <row r="69" ht="12.75" outlineLevel="1">
      <c r="B69" s="297" t="s">
        <v>1795</v>
      </c>
    </row>
    <row r="70" spans="2:7" ht="12.75">
      <c r="B70" s="297" t="s">
        <v>168</v>
      </c>
      <c r="G70" s="203">
        <f>(G67+G68)*$L$10/1000</f>
        <v>28.5</v>
      </c>
    </row>
    <row r="72" spans="2:7" ht="12.75">
      <c r="B72" s="297" t="s">
        <v>1364</v>
      </c>
      <c r="G72" s="203" t="e">
        <f>G40+G44+G48+G51+G54+G56+G58+G60+G65+G70</f>
        <v>#REF!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6"/>
  <sheetViews>
    <sheetView workbookViewId="0" topLeftCell="C23">
      <selection activeCell="E142" sqref="E142"/>
    </sheetView>
  </sheetViews>
  <sheetFormatPr defaultColWidth="9.140625" defaultRowHeight="12.75"/>
  <cols>
    <col min="1" max="1" width="2.140625" style="0" customWidth="1"/>
    <col min="2" max="2" width="13.57421875" style="0" customWidth="1"/>
    <col min="3" max="3" width="42.140625" style="0" customWidth="1"/>
    <col min="4" max="4" width="13.421875" style="0" customWidth="1"/>
    <col min="5" max="5" width="11.7109375" style="0" customWidth="1"/>
    <col min="6" max="6" width="13.28125" style="0" customWidth="1"/>
    <col min="7" max="7" width="15.28125" style="0" customWidth="1"/>
    <col min="8" max="8" width="17.8515625" style="0" bestFit="1" customWidth="1"/>
    <col min="9" max="9" width="11.7109375" style="0" bestFit="1" customWidth="1"/>
    <col min="10" max="10" width="18.421875" style="0" customWidth="1"/>
    <col min="11" max="11" width="11.28125" style="0" customWidth="1"/>
    <col min="12" max="12" width="10.7109375" style="0" bestFit="1" customWidth="1"/>
    <col min="13" max="13" width="8.57421875" style="0" bestFit="1" customWidth="1"/>
    <col min="14" max="14" width="11.28125" style="0" bestFit="1" customWidth="1"/>
    <col min="15" max="15" width="10.140625" style="0" bestFit="1" customWidth="1"/>
  </cols>
  <sheetData>
    <row r="1" spans="2:6" ht="12.75">
      <c r="B1" s="508" t="s">
        <v>1521</v>
      </c>
      <c r="C1" s="508"/>
      <c r="D1" s="508"/>
      <c r="E1" s="508"/>
      <c r="F1" s="508"/>
    </row>
    <row r="2" spans="2:6" ht="12.75">
      <c r="B2" s="425"/>
      <c r="C2" s="425" t="s">
        <v>1714</v>
      </c>
      <c r="D2" s="425" t="s">
        <v>220</v>
      </c>
      <c r="E2" s="425" t="s">
        <v>221</v>
      </c>
      <c r="F2" s="425" t="s">
        <v>222</v>
      </c>
    </row>
    <row r="3" spans="3:5" ht="12.75">
      <c r="C3" t="s">
        <v>214</v>
      </c>
      <c r="D3" s="320">
        <f>1.48*0.5*('Aug 02'!C8+'Aug 02'!C13+'Aug 02'!C14+'Aug 02'!C15+'Aug 02'!C16)</f>
        <v>5658.854</v>
      </c>
      <c r="E3" s="320"/>
    </row>
    <row r="4" spans="3:5" ht="12.75">
      <c r="C4" t="s">
        <v>1715</v>
      </c>
      <c r="D4" s="320">
        <f>26*D3</f>
        <v>147130.204</v>
      </c>
      <c r="E4" s="320">
        <f>D4</f>
        <v>147130.204</v>
      </c>
    </row>
    <row r="5" spans="3:6" ht="12.75">
      <c r="C5" t="s">
        <v>215</v>
      </c>
      <c r="D5" s="320">
        <f>1.25*D4</f>
        <v>183912.755</v>
      </c>
      <c r="F5" s="320">
        <f>D5</f>
        <v>183912.755</v>
      </c>
    </row>
    <row r="6" spans="3:5" ht="12.75">
      <c r="C6" s="425" t="s">
        <v>216</v>
      </c>
      <c r="D6" s="320"/>
      <c r="E6" s="320"/>
    </row>
    <row r="7" spans="3:5" ht="12.75">
      <c r="C7" t="s">
        <v>217</v>
      </c>
      <c r="D7" s="320">
        <v>61514.217142857146</v>
      </c>
      <c r="E7" s="320">
        <f>D7</f>
        <v>61514.217142857146</v>
      </c>
    </row>
    <row r="8" spans="3:6" ht="12.75">
      <c r="C8" t="s">
        <v>215</v>
      </c>
      <c r="D8" s="320">
        <f>1.25*D7</f>
        <v>76892.77142857143</v>
      </c>
      <c r="F8" s="320">
        <f>D8</f>
        <v>76892.77142857143</v>
      </c>
    </row>
    <row r="9" spans="3:5" ht="12.75">
      <c r="C9" s="425" t="s">
        <v>218</v>
      </c>
      <c r="D9" s="320"/>
      <c r="E9" s="320"/>
    </row>
    <row r="10" spans="3:6" ht="12.75">
      <c r="C10" t="s">
        <v>217</v>
      </c>
      <c r="D10" s="320">
        <v>80833.86380952384</v>
      </c>
      <c r="E10" s="320">
        <f>D10</f>
        <v>80833.86380952384</v>
      </c>
      <c r="F10" s="320">
        <f>E10</f>
        <v>80833.86380952384</v>
      </c>
    </row>
    <row r="11" spans="3:5" ht="12.75">
      <c r="C11" t="s">
        <v>215</v>
      </c>
      <c r="D11" s="320">
        <f>1.25*D10</f>
        <v>101042.32976190481</v>
      </c>
      <c r="E11" s="320"/>
    </row>
    <row r="12" spans="3:5" ht="12.75">
      <c r="C12" s="425" t="s">
        <v>1717</v>
      </c>
      <c r="D12" s="320"/>
      <c r="E12" s="320"/>
    </row>
    <row r="13" spans="3:5" ht="12.75">
      <c r="C13" t="s">
        <v>214</v>
      </c>
      <c r="D13" s="320">
        <f>1.48*0.5*'Aug 02'!C10</f>
        <v>1033.1732</v>
      </c>
      <c r="E13" s="320"/>
    </row>
    <row r="14" spans="3:5" ht="12.75">
      <c r="C14" t="s">
        <v>1718</v>
      </c>
      <c r="D14" s="320">
        <f>18*D13</f>
        <v>18597.117599999998</v>
      </c>
      <c r="E14" s="320"/>
    </row>
    <row r="15" spans="4:5" ht="12.75">
      <c r="D15" s="320"/>
      <c r="E15" s="320"/>
    </row>
    <row r="16" spans="4:5" ht="12.75">
      <c r="D16" s="320"/>
      <c r="E16" s="320"/>
    </row>
    <row r="17" spans="3:6" ht="12.75">
      <c r="C17" t="s">
        <v>219</v>
      </c>
      <c r="D17" s="320"/>
      <c r="E17" s="320">
        <f>SUM(E3:E11)</f>
        <v>289478.284952381</v>
      </c>
      <c r="F17" s="320">
        <f>SUM(F3:F11)</f>
        <v>341639.3902380953</v>
      </c>
    </row>
    <row r="18" spans="3:6" ht="12.75">
      <c r="C18" t="s">
        <v>1716</v>
      </c>
      <c r="D18" s="320">
        <f>200*423</f>
        <v>84600</v>
      </c>
      <c r="E18" s="320"/>
      <c r="F18" s="320"/>
    </row>
    <row r="19" spans="4:6" ht="12.75">
      <c r="D19" s="320"/>
      <c r="E19" s="320"/>
      <c r="F19" s="320"/>
    </row>
    <row r="20" spans="4:6" ht="12.75">
      <c r="D20" s="320"/>
      <c r="E20" s="320"/>
      <c r="F20" s="320"/>
    </row>
    <row r="21" spans="2:11" ht="12.75">
      <c r="B21" s="509" t="s">
        <v>223</v>
      </c>
      <c r="C21" s="509"/>
      <c r="D21" s="509"/>
      <c r="E21" s="509"/>
      <c r="F21" s="509"/>
      <c r="G21" s="505" t="s">
        <v>120</v>
      </c>
      <c r="H21" s="506"/>
      <c r="I21" s="507"/>
      <c r="J21" s="505" t="s">
        <v>1601</v>
      </c>
      <c r="K21" s="507"/>
    </row>
    <row r="22" spans="2:12" ht="12.75">
      <c r="B22" s="245" t="s">
        <v>166</v>
      </c>
      <c r="C22" s="424" t="s">
        <v>736</v>
      </c>
      <c r="D22" s="435" t="s">
        <v>1638</v>
      </c>
      <c r="E22" s="435" t="s">
        <v>224</v>
      </c>
      <c r="F22" s="331" t="s">
        <v>641</v>
      </c>
      <c r="G22" s="184" t="s">
        <v>121</v>
      </c>
      <c r="H22" s="106" t="s">
        <v>1638</v>
      </c>
      <c r="I22" s="219" t="s">
        <v>718</v>
      </c>
      <c r="J22" s="184" t="s">
        <v>818</v>
      </c>
      <c r="K22" s="219" t="s">
        <v>641</v>
      </c>
      <c r="L22" s="200" t="s">
        <v>723</v>
      </c>
    </row>
    <row r="23" spans="2:12" ht="12.75">
      <c r="B23" s="427" t="s">
        <v>195</v>
      </c>
      <c r="C23" s="271" t="s">
        <v>1788</v>
      </c>
      <c r="D23" s="436">
        <f>'CPR 080202'!K25</f>
        <v>52594.28084564209</v>
      </c>
      <c r="E23" s="428">
        <v>0.8</v>
      </c>
      <c r="F23" s="436">
        <f aca="true" t="shared" si="0" ref="F23:F33">(1-E23)*D23</f>
        <v>10518.856169128416</v>
      </c>
      <c r="G23" s="242">
        <f>H23-I23</f>
        <v>52594.28084564209</v>
      </c>
      <c r="H23" s="240">
        <f>D23</f>
        <v>52594.28084564209</v>
      </c>
      <c r="I23" s="220">
        <v>0</v>
      </c>
      <c r="J23" s="242">
        <v>49775.348</v>
      </c>
      <c r="K23" s="220">
        <f>H23-J23</f>
        <v>2818.9328456420917</v>
      </c>
      <c r="L23" s="320">
        <f>'CPR 080202'!J25</f>
        <v>50011.2</v>
      </c>
    </row>
    <row r="24" spans="2:12" ht="12.75">
      <c r="B24" s="427" t="s">
        <v>199</v>
      </c>
      <c r="C24" s="271" t="s">
        <v>1792</v>
      </c>
      <c r="D24" s="436">
        <f>'CPR 080202'!K29</f>
        <v>118166.65783882141</v>
      </c>
      <c r="E24" s="428">
        <v>0</v>
      </c>
      <c r="F24" s="436">
        <f t="shared" si="0"/>
        <v>118166.65783882141</v>
      </c>
      <c r="G24" s="242">
        <f aca="true" t="shared" si="1" ref="G24:G33">H24-I24</f>
        <v>118166.65783882141</v>
      </c>
      <c r="H24" s="240">
        <f aca="true" t="shared" si="2" ref="H24:H33">D24</f>
        <v>118166.65783882141</v>
      </c>
      <c r="I24" s="220">
        <v>0</v>
      </c>
      <c r="J24" s="242">
        <v>105320.9868</v>
      </c>
      <c r="K24" s="220">
        <f aca="true" t="shared" si="3" ref="K24:K33">H24-J24</f>
        <v>12845.671038821412</v>
      </c>
      <c r="L24" s="320">
        <f>'CPR 080202'!J29</f>
        <v>110052</v>
      </c>
    </row>
    <row r="25" spans="2:12" ht="12.75">
      <c r="B25" s="427" t="s">
        <v>1833</v>
      </c>
      <c r="C25" s="271" t="s">
        <v>1834</v>
      </c>
      <c r="D25" s="436">
        <f>'CPR 080202'!K55</f>
        <v>7498.963565826416</v>
      </c>
      <c r="E25" s="428">
        <v>0</v>
      </c>
      <c r="F25" s="436">
        <f t="shared" si="0"/>
        <v>7498.963565826416</v>
      </c>
      <c r="G25" s="242">
        <f t="shared" si="1"/>
        <v>7498.963565826416</v>
      </c>
      <c r="H25" s="240">
        <f t="shared" si="2"/>
        <v>7498.963565826416</v>
      </c>
      <c r="I25" s="220">
        <v>0</v>
      </c>
      <c r="J25" s="469">
        <v>0</v>
      </c>
      <c r="K25" s="220">
        <f t="shared" si="3"/>
        <v>7498.963565826416</v>
      </c>
      <c r="L25" s="320">
        <f>'CPR 080202'!J55</f>
        <v>6984</v>
      </c>
    </row>
    <row r="26" spans="2:12" ht="12.75">
      <c r="B26" s="427" t="s">
        <v>1842</v>
      </c>
      <c r="C26" s="271" t="s">
        <v>1843</v>
      </c>
      <c r="D26" s="436">
        <f>'CPR 080202'!K59</f>
        <v>2641.387367248535</v>
      </c>
      <c r="E26" s="428">
        <v>0</v>
      </c>
      <c r="F26" s="436">
        <f t="shared" si="0"/>
        <v>2641.387367248535</v>
      </c>
      <c r="G26" s="242">
        <f t="shared" si="1"/>
        <v>2641.387367248535</v>
      </c>
      <c r="H26" s="240">
        <f t="shared" si="2"/>
        <v>2641.387367248535</v>
      </c>
      <c r="I26" s="220">
        <v>0</v>
      </c>
      <c r="J26" s="469">
        <v>0</v>
      </c>
      <c r="K26" s="220">
        <f t="shared" si="3"/>
        <v>2641.387367248535</v>
      </c>
      <c r="L26" s="320">
        <f>'CPR 080202'!J59</f>
        <v>2400</v>
      </c>
    </row>
    <row r="27" spans="2:12" ht="12.75">
      <c r="B27" s="427" t="s">
        <v>5</v>
      </c>
      <c r="C27" s="271" t="s">
        <v>6</v>
      </c>
      <c r="D27" s="436">
        <f>'CPR 080202'!K63</f>
        <v>7267.0368576049805</v>
      </c>
      <c r="E27" s="428">
        <v>0</v>
      </c>
      <c r="F27" s="436">
        <f t="shared" si="0"/>
        <v>7267.0368576049805</v>
      </c>
      <c r="G27" s="242">
        <f t="shared" si="1"/>
        <v>7267.0368576049805</v>
      </c>
      <c r="H27" s="240">
        <f t="shared" si="2"/>
        <v>7267.0368576049805</v>
      </c>
      <c r="I27" s="220">
        <v>0</v>
      </c>
      <c r="J27" s="469">
        <v>0</v>
      </c>
      <c r="K27" s="220">
        <f t="shared" si="3"/>
        <v>7267.0368576049805</v>
      </c>
      <c r="L27" s="320">
        <f>'CPR 080202'!J63</f>
        <v>6768</v>
      </c>
    </row>
    <row r="28" spans="2:12" ht="12.75">
      <c r="B28" s="427" t="s">
        <v>95</v>
      </c>
      <c r="C28" s="271" t="s">
        <v>96</v>
      </c>
      <c r="D28" s="436">
        <f>'CPR 080202'!K115</f>
        <v>42680.165519714355</v>
      </c>
      <c r="E28" s="428">
        <v>0.12</v>
      </c>
      <c r="F28" s="436">
        <f t="shared" si="0"/>
        <v>37558.54565734863</v>
      </c>
      <c r="G28" s="242">
        <f t="shared" si="1"/>
        <v>42680.165519714355</v>
      </c>
      <c r="H28" s="240">
        <f t="shared" si="2"/>
        <v>42680.165519714355</v>
      </c>
      <c r="I28" s="220">
        <v>0</v>
      </c>
      <c r="J28" s="469">
        <v>0</v>
      </c>
      <c r="K28" s="220">
        <f t="shared" si="3"/>
        <v>42680.165519714355</v>
      </c>
      <c r="L28" s="320">
        <f>'CPR 080202'!J115</f>
        <v>40584</v>
      </c>
    </row>
    <row r="29" spans="2:12" ht="12.75">
      <c r="B29" s="427" t="s">
        <v>124</v>
      </c>
      <c r="C29" s="271" t="s">
        <v>125</v>
      </c>
      <c r="D29" s="436">
        <f>'CPR 080202'!K122</f>
        <v>291501.3988494873</v>
      </c>
      <c r="E29" s="428">
        <v>0.36</v>
      </c>
      <c r="F29" s="436">
        <f t="shared" si="0"/>
        <v>186560.89526367188</v>
      </c>
      <c r="G29" s="242">
        <f t="shared" si="1"/>
        <v>166328.3988494873</v>
      </c>
      <c r="H29" s="240">
        <f t="shared" si="2"/>
        <v>291501.3988494873</v>
      </c>
      <c r="I29" s="220">
        <v>125173</v>
      </c>
      <c r="J29" s="242">
        <v>240904.8716</v>
      </c>
      <c r="K29" s="220">
        <f t="shared" si="3"/>
        <v>50596.52724948729</v>
      </c>
      <c r="L29" s="320">
        <f>'CPR 080202'!J122</f>
        <v>283200</v>
      </c>
    </row>
    <row r="30" spans="2:12" ht="12.75">
      <c r="B30" s="427" t="s">
        <v>1600</v>
      </c>
      <c r="C30" s="271" t="s">
        <v>1603</v>
      </c>
      <c r="D30" s="436">
        <f>'CPR 080202'!K130</f>
        <v>127504.73499298096</v>
      </c>
      <c r="E30" s="428">
        <v>0</v>
      </c>
      <c r="F30" s="436">
        <f t="shared" si="0"/>
        <v>127504.73499298096</v>
      </c>
      <c r="G30" s="242">
        <f t="shared" si="1"/>
        <v>127504.73499298096</v>
      </c>
      <c r="H30" s="240">
        <f t="shared" si="2"/>
        <v>127504.73499298096</v>
      </c>
      <c r="I30" s="220">
        <v>0</v>
      </c>
      <c r="J30" s="469">
        <v>0</v>
      </c>
      <c r="K30" s="220">
        <f t="shared" si="3"/>
        <v>127504.73499298096</v>
      </c>
      <c r="L30" s="320">
        <f>'CPR 080202'!J130</f>
        <v>120000</v>
      </c>
    </row>
    <row r="31" spans="2:12" ht="12.75">
      <c r="B31" s="176" t="s">
        <v>17</v>
      </c>
      <c r="C31" s="200" t="s">
        <v>18</v>
      </c>
      <c r="D31" s="436">
        <v>12884.817123413086</v>
      </c>
      <c r="E31" s="428">
        <v>0</v>
      </c>
      <c r="F31" s="436">
        <f t="shared" si="0"/>
        <v>12884.817123413086</v>
      </c>
      <c r="G31" s="242">
        <f t="shared" si="1"/>
        <v>12884.817123413086</v>
      </c>
      <c r="H31" s="240">
        <f t="shared" si="2"/>
        <v>12884.817123413086</v>
      </c>
      <c r="I31" s="220">
        <v>0</v>
      </c>
      <c r="J31" s="469">
        <v>10967.91</v>
      </c>
      <c r="K31" s="220">
        <f t="shared" si="3"/>
        <v>1916.907123413086</v>
      </c>
      <c r="L31" s="320">
        <f>'CPR 080202'!J72</f>
        <v>12000</v>
      </c>
    </row>
    <row r="32" spans="2:12" ht="12.75">
      <c r="B32" s="184" t="s">
        <v>1428</v>
      </c>
      <c r="C32" s="470" t="s">
        <v>760</v>
      </c>
      <c r="D32" s="436">
        <v>36807.75165557861</v>
      </c>
      <c r="E32" s="428">
        <v>0</v>
      </c>
      <c r="F32" s="436">
        <f t="shared" si="0"/>
        <v>36807.75165557861</v>
      </c>
      <c r="G32" s="242">
        <f t="shared" si="1"/>
        <v>36807.75165557861</v>
      </c>
      <c r="H32" s="240">
        <f t="shared" si="2"/>
        <v>36807.75165557861</v>
      </c>
      <c r="I32" s="220">
        <v>0</v>
      </c>
      <c r="J32" s="469">
        <v>1452.5903999999998</v>
      </c>
      <c r="K32" s="220">
        <f t="shared" si="3"/>
        <v>35355.16125557861</v>
      </c>
      <c r="L32" s="320">
        <f>'CPR 080202'!J11</f>
        <v>35000</v>
      </c>
    </row>
    <row r="33" spans="2:12" ht="12.75">
      <c r="B33" s="471" t="s">
        <v>1429</v>
      </c>
      <c r="C33" s="470" t="s">
        <v>1430</v>
      </c>
      <c r="D33" s="436">
        <v>42066.001892089844</v>
      </c>
      <c r="E33" s="428">
        <v>0</v>
      </c>
      <c r="F33" s="436">
        <f t="shared" si="0"/>
        <v>42066.001892089844</v>
      </c>
      <c r="G33" s="242">
        <f t="shared" si="1"/>
        <v>42066.001892089844</v>
      </c>
      <c r="H33" s="240">
        <f t="shared" si="2"/>
        <v>42066.001892089844</v>
      </c>
      <c r="I33" s="220">
        <v>0</v>
      </c>
      <c r="J33" s="469">
        <v>22357.412155999948</v>
      </c>
      <c r="K33" s="220">
        <f t="shared" si="3"/>
        <v>19708.589736089896</v>
      </c>
      <c r="L33" s="320">
        <f>'CPR 080202'!J147</f>
        <v>40000</v>
      </c>
    </row>
    <row r="34" spans="2:12" ht="12.75">
      <c r="B34" s="431"/>
      <c r="C34" s="432" t="s">
        <v>237</v>
      </c>
      <c r="D34" s="437"/>
      <c r="E34" s="433"/>
      <c r="F34" s="437">
        <f>SUM(F23:F33)</f>
        <v>589475.6483837127</v>
      </c>
      <c r="G34" s="244">
        <f>SUM(G23:G33)</f>
        <v>616440.1965084076</v>
      </c>
      <c r="H34" s="241">
        <f>SUM(H23:H33)</f>
        <v>741613.1965084076</v>
      </c>
      <c r="I34" s="222">
        <f>SUM(I23:I33)</f>
        <v>125173</v>
      </c>
      <c r="J34" s="244">
        <f>SUM(J23:J33)</f>
        <v>430779.11895599996</v>
      </c>
      <c r="K34" s="222">
        <f>H34-J34</f>
        <v>310834.07755240763</v>
      </c>
      <c r="L34" s="341">
        <f>SUM(L23:L33)</f>
        <v>706999.2</v>
      </c>
    </row>
    <row r="35" spans="2:9" ht="12.75">
      <c r="B35" s="6"/>
      <c r="C35" s="6"/>
      <c r="D35" s="225"/>
      <c r="E35" s="413"/>
      <c r="F35" s="225"/>
      <c r="G35" s="323"/>
      <c r="H35" s="323"/>
      <c r="I35" s="323"/>
    </row>
    <row r="36" spans="2:9" ht="12.75">
      <c r="B36" s="429"/>
      <c r="C36" s="426" t="s">
        <v>740</v>
      </c>
      <c r="D36" s="438"/>
      <c r="E36" s="430"/>
      <c r="F36" s="438"/>
      <c r="G36" s="242"/>
      <c r="H36" s="240"/>
      <c r="I36" s="240"/>
    </row>
    <row r="37" spans="2:9" ht="12.75">
      <c r="B37" s="431" t="s">
        <v>51</v>
      </c>
      <c r="C37" s="432" t="s">
        <v>1588</v>
      </c>
      <c r="D37" s="437">
        <v>25648</v>
      </c>
      <c r="E37" s="433">
        <v>0</v>
      </c>
      <c r="F37" s="437">
        <f>(1-E37)*D37</f>
        <v>25648</v>
      </c>
      <c r="G37" s="242"/>
      <c r="H37" s="240"/>
      <c r="I37" s="240"/>
    </row>
    <row r="38" spans="2:9" ht="12.75">
      <c r="B38" s="6"/>
      <c r="C38" s="6"/>
      <c r="D38" s="225"/>
      <c r="E38" s="413"/>
      <c r="F38" s="225"/>
      <c r="G38" s="241"/>
      <c r="H38" s="241"/>
      <c r="I38" s="241"/>
    </row>
    <row r="39" spans="2:9" ht="12.75">
      <c r="B39" s="245"/>
      <c r="C39" s="426" t="s">
        <v>737</v>
      </c>
      <c r="D39" s="323"/>
      <c r="E39" s="331"/>
      <c r="F39" s="331"/>
      <c r="G39" s="512" t="s">
        <v>1602</v>
      </c>
      <c r="H39" s="513"/>
      <c r="I39" s="514"/>
    </row>
    <row r="40" spans="2:9" ht="12.75">
      <c r="B40" s="427" t="s">
        <v>1813</v>
      </c>
      <c r="C40" s="271" t="s">
        <v>1814</v>
      </c>
      <c r="D40" s="436">
        <v>53200</v>
      </c>
      <c r="E40" s="428">
        <v>0.8</v>
      </c>
      <c r="F40" s="436">
        <f>(1-E40)*D40</f>
        <v>10639.999999999998</v>
      </c>
      <c r="G40" s="242">
        <f>H40-I40</f>
        <v>53810.5036277771</v>
      </c>
      <c r="H40" s="240">
        <v>54606.222438812256</v>
      </c>
      <c r="I40" s="220">
        <v>795.7188110351562</v>
      </c>
    </row>
    <row r="41" spans="2:9" ht="12.75">
      <c r="B41" s="427" t="s">
        <v>1819</v>
      </c>
      <c r="C41" s="271" t="s">
        <v>1814</v>
      </c>
      <c r="D41" s="436">
        <v>54667.2</v>
      </c>
      <c r="E41" s="428">
        <v>0</v>
      </c>
      <c r="F41" s="436">
        <f>(1-E41)*D41</f>
        <v>54667.2</v>
      </c>
      <c r="G41" s="448">
        <v>57490.76346588135</v>
      </c>
      <c r="H41" s="240"/>
      <c r="I41" s="220"/>
    </row>
    <row r="42" spans="2:9" ht="12.75">
      <c r="B42" s="427" t="s">
        <v>1825</v>
      </c>
      <c r="C42" s="271" t="s">
        <v>1826</v>
      </c>
      <c r="D42" s="436">
        <v>10780</v>
      </c>
      <c r="E42" s="428">
        <v>0</v>
      </c>
      <c r="F42" s="436">
        <f>(1-E42)*D42</f>
        <v>10780</v>
      </c>
      <c r="G42" s="242">
        <v>11336.787509918213</v>
      </c>
      <c r="H42" s="240"/>
      <c r="I42" s="220"/>
    </row>
    <row r="43" spans="2:9" ht="12.75">
      <c r="B43" s="427" t="s">
        <v>77</v>
      </c>
      <c r="C43" s="271" t="s">
        <v>78</v>
      </c>
      <c r="D43" s="436">
        <v>22831.2</v>
      </c>
      <c r="E43" s="428">
        <v>0.8</v>
      </c>
      <c r="F43" s="436">
        <f>(1-E43)*D43</f>
        <v>4566.239999999999</v>
      </c>
      <c r="G43" s="242">
        <f>H43-I43</f>
        <v>8154.08029909134</v>
      </c>
      <c r="H43" s="240">
        <v>22891.88010377884</v>
      </c>
      <c r="I43" s="468">
        <v>14737.7998046875</v>
      </c>
    </row>
    <row r="44" spans="2:9" ht="12.75">
      <c r="B44" s="427" t="s">
        <v>97</v>
      </c>
      <c r="C44" s="271" t="s">
        <v>98</v>
      </c>
      <c r="D44" s="436">
        <v>16912</v>
      </c>
      <c r="E44" s="428">
        <v>0.8</v>
      </c>
      <c r="F44" s="436">
        <f>(1-E44)*D44</f>
        <v>3382.399999999999</v>
      </c>
      <c r="G44" s="448">
        <v>17785.505599975586</v>
      </c>
      <c r="H44" s="240"/>
      <c r="I44" s="220"/>
    </row>
    <row r="45" spans="2:9" ht="12.75">
      <c r="B45" s="221"/>
      <c r="C45" s="298" t="s">
        <v>237</v>
      </c>
      <c r="D45" s="241">
        <f>SUM(D40:D44)</f>
        <v>158390.4</v>
      </c>
      <c r="E45" s="298"/>
      <c r="F45" s="241">
        <f>SUM(F40:F44)</f>
        <v>84035.84</v>
      </c>
      <c r="G45" s="244">
        <f>SUM(G40:G44)</f>
        <v>148577.6405026436</v>
      </c>
      <c r="H45" s="241">
        <f>SUM(H40:H44)</f>
        <v>77498.10254259109</v>
      </c>
      <c r="I45" s="222"/>
    </row>
    <row r="47" spans="2:6" ht="12.75">
      <c r="B47" s="508" t="s">
        <v>1520</v>
      </c>
      <c r="C47" s="508"/>
      <c r="D47" s="508"/>
      <c r="E47" s="508"/>
      <c r="F47" s="508"/>
    </row>
    <row r="49" spans="2:8" ht="12.75">
      <c r="B49" s="505" t="s">
        <v>1016</v>
      </c>
      <c r="C49" s="506"/>
      <c r="D49" s="506"/>
      <c r="E49" s="506"/>
      <c r="F49" s="506"/>
      <c r="G49" s="506"/>
      <c r="H49" s="246"/>
    </row>
    <row r="50" spans="2:8" ht="12.75">
      <c r="B50" s="184" t="s">
        <v>166</v>
      </c>
      <c r="C50" s="106" t="s">
        <v>1038</v>
      </c>
      <c r="D50" s="106" t="s">
        <v>435</v>
      </c>
      <c r="E50" s="200" t="s">
        <v>1638</v>
      </c>
      <c r="F50" s="106" t="s">
        <v>1632</v>
      </c>
      <c r="G50" s="106" t="s">
        <v>988</v>
      </c>
      <c r="H50" s="219" t="s">
        <v>989</v>
      </c>
    </row>
    <row r="51" spans="2:9" s="335" customFormat="1" ht="12.75">
      <c r="B51" s="439" t="s">
        <v>198</v>
      </c>
      <c r="C51" s="200" t="s">
        <v>1628</v>
      </c>
      <c r="D51" s="476">
        <v>270100</v>
      </c>
      <c r="E51" s="475">
        <v>290015.7587528229</v>
      </c>
      <c r="F51" s="476">
        <f>D226</f>
        <v>337938</v>
      </c>
      <c r="G51" s="476">
        <f>D51-F51</f>
        <v>-67838</v>
      </c>
      <c r="H51" s="477">
        <f>E51-F51</f>
        <v>-47922.241247177124</v>
      </c>
      <c r="I51" s="480">
        <f>F51*$H$205</f>
        <v>268648.008032423</v>
      </c>
    </row>
    <row r="52" spans="2:9" s="335" customFormat="1" ht="12.75">
      <c r="B52" s="439" t="s">
        <v>1731</v>
      </c>
      <c r="C52" s="200" t="s">
        <v>1630</v>
      </c>
      <c r="D52" s="476">
        <v>179162</v>
      </c>
      <c r="E52" s="475">
        <v>192372.46712207794</v>
      </c>
      <c r="F52" s="476">
        <f>F226</f>
        <v>263674</v>
      </c>
      <c r="G52" s="476">
        <f>D52-F52</f>
        <v>-84512</v>
      </c>
      <c r="H52" s="477">
        <f>E52-F52</f>
        <v>-71301.53287792206</v>
      </c>
      <c r="I52" s="480">
        <f>F52*$H$205</f>
        <v>209610.91936965092</v>
      </c>
    </row>
    <row r="53" spans="2:9" s="335" customFormat="1" ht="12.75">
      <c r="B53" s="439" t="s">
        <v>1688</v>
      </c>
      <c r="C53" s="200" t="s">
        <v>1629</v>
      </c>
      <c r="D53" s="476">
        <v>231232</v>
      </c>
      <c r="E53" s="475">
        <v>248281.8360900879</v>
      </c>
      <c r="F53" s="476">
        <f>E226</f>
        <v>292860</v>
      </c>
      <c r="G53" s="476">
        <f>D53-F53</f>
        <v>-61628</v>
      </c>
      <c r="H53" s="477">
        <f>E53-F53</f>
        <v>-44578.16390991211</v>
      </c>
      <c r="I53" s="480">
        <f>F53*$H$205</f>
        <v>232812.69236479886</v>
      </c>
    </row>
    <row r="54" spans="2:9" s="335" customFormat="1" ht="12.75">
      <c r="B54" s="439" t="s">
        <v>1652</v>
      </c>
      <c r="C54" s="200" t="s">
        <v>1631</v>
      </c>
      <c r="D54" s="476">
        <v>142002</v>
      </c>
      <c r="E54" s="475">
        <v>152472.48342990875</v>
      </c>
      <c r="F54" s="476">
        <f>G226</f>
        <v>196606</v>
      </c>
      <c r="G54" s="476">
        <f>D54-F54</f>
        <v>-54604</v>
      </c>
      <c r="H54" s="477">
        <f>E54-F54</f>
        <v>-44133.51657009125</v>
      </c>
      <c r="I54" s="480">
        <f>F54*$H$205</f>
        <v>156294.38023312725</v>
      </c>
    </row>
    <row r="55" spans="2:9" s="335" customFormat="1" ht="12.75">
      <c r="B55" s="336"/>
      <c r="C55" s="337" t="s">
        <v>1508</v>
      </c>
      <c r="D55" s="478">
        <f>SUM(D51:D54)</f>
        <v>822496</v>
      </c>
      <c r="E55" s="478">
        <f>SUM(E51:E54)</f>
        <v>883142.5453948975</v>
      </c>
      <c r="F55" s="478">
        <f>SUM(F51:F54)</f>
        <v>1091078</v>
      </c>
      <c r="G55" s="478">
        <f>D55-F55</f>
        <v>-268582</v>
      </c>
      <c r="H55" s="479">
        <f>E55-F55</f>
        <v>-207935.45460510254</v>
      </c>
      <c r="I55" s="480">
        <f>F55*$H$205</f>
        <v>867366</v>
      </c>
    </row>
    <row r="56" spans="2:6" s="335" customFormat="1" ht="12.75">
      <c r="B56" s="343"/>
      <c r="C56" s="343"/>
      <c r="D56" s="344"/>
      <c r="E56" s="345"/>
      <c r="F56" s="344"/>
    </row>
    <row r="57" spans="2:8" s="335" customFormat="1" ht="12.75">
      <c r="B57" s="510" t="s">
        <v>1513</v>
      </c>
      <c r="C57" s="511"/>
      <c r="D57" s="511"/>
      <c r="E57" s="511"/>
      <c r="F57" s="511"/>
      <c r="G57" s="511"/>
      <c r="H57" s="482"/>
    </row>
    <row r="58" spans="2:8" s="335" customFormat="1" ht="12.75">
      <c r="B58" s="439" t="s">
        <v>200</v>
      </c>
      <c r="C58" s="200" t="s">
        <v>1669</v>
      </c>
      <c r="D58" s="476">
        <v>3150</v>
      </c>
      <c r="E58" s="475">
        <v>3382.264494895935</v>
      </c>
      <c r="F58" s="476">
        <f>2*$E$218*D224</f>
        <v>1620</v>
      </c>
      <c r="G58" s="476">
        <f>D58-F58</f>
        <v>1530</v>
      </c>
      <c r="H58" s="477">
        <f>E58-F58</f>
        <v>1762.264494895935</v>
      </c>
    </row>
    <row r="59" spans="2:8" s="335" customFormat="1" ht="12.75">
      <c r="B59" s="439" t="s">
        <v>1735</v>
      </c>
      <c r="C59" s="200" t="s">
        <v>1644</v>
      </c>
      <c r="D59" s="476">
        <v>0</v>
      </c>
      <c r="E59" s="476">
        <v>0</v>
      </c>
      <c r="F59" s="476">
        <f>2*$E$218*F224</f>
        <v>1260</v>
      </c>
      <c r="G59" s="476">
        <f>D59-F59</f>
        <v>-1260</v>
      </c>
      <c r="H59" s="477">
        <f>E59-F59</f>
        <v>-1260</v>
      </c>
    </row>
    <row r="60" spans="2:8" s="335" customFormat="1" ht="12.75">
      <c r="B60" s="439" t="s">
        <v>1690</v>
      </c>
      <c r="C60" s="200" t="s">
        <v>1647</v>
      </c>
      <c r="D60" s="476">
        <v>3150</v>
      </c>
      <c r="E60" s="475">
        <v>3382.264494895935</v>
      </c>
      <c r="F60" s="476">
        <f>2*$E$218*E224</f>
        <v>1400</v>
      </c>
      <c r="G60" s="476">
        <f>D60-F60</f>
        <v>1750</v>
      </c>
      <c r="H60" s="477">
        <f>E60-F60</f>
        <v>1982.264494895935</v>
      </c>
    </row>
    <row r="61" spans="2:8" s="335" customFormat="1" ht="12.75">
      <c r="B61" s="439" t="s">
        <v>1654</v>
      </c>
      <c r="C61" s="200" t="s">
        <v>1670</v>
      </c>
      <c r="D61" s="476">
        <v>3150</v>
      </c>
      <c r="E61" s="475">
        <v>3382.264494895935</v>
      </c>
      <c r="F61" s="476">
        <f>2*$E$218*G224</f>
        <v>940</v>
      </c>
      <c r="G61" s="476">
        <f>D61-F61</f>
        <v>2210</v>
      </c>
      <c r="H61" s="477">
        <f>E61-F61</f>
        <v>2442.264494895935</v>
      </c>
    </row>
    <row r="62" spans="2:8" s="335" customFormat="1" ht="12.75">
      <c r="B62" s="336"/>
      <c r="C62" s="337" t="s">
        <v>1507</v>
      </c>
      <c r="D62" s="478">
        <f>SUM(D58:D61)</f>
        <v>9450</v>
      </c>
      <c r="E62" s="478">
        <f>SUM(E58:E61)</f>
        <v>10146.793484687805</v>
      </c>
      <c r="F62" s="478">
        <f>SUM(F58:F61)</f>
        <v>5220</v>
      </c>
      <c r="G62" s="478">
        <f>D62-F62</f>
        <v>4230</v>
      </c>
      <c r="H62" s="479">
        <f>E62-F62</f>
        <v>4926.793484687805</v>
      </c>
    </row>
    <row r="63" spans="2:6" s="335" customFormat="1" ht="12.75">
      <c r="B63" s="343"/>
      <c r="C63" s="200"/>
      <c r="D63" s="341"/>
      <c r="E63" s="342"/>
      <c r="F63" s="344"/>
    </row>
    <row r="64" spans="2:8" s="335" customFormat="1" ht="12.75">
      <c r="B64" s="510" t="s">
        <v>1045</v>
      </c>
      <c r="C64" s="511"/>
      <c r="D64" s="511"/>
      <c r="E64" s="511"/>
      <c r="F64" s="511"/>
      <c r="G64" s="511"/>
      <c r="H64" s="482"/>
    </row>
    <row r="65" spans="2:8" s="335" customFormat="1" ht="12.75">
      <c r="B65" s="439" t="s">
        <v>1823</v>
      </c>
      <c r="C65" s="200" t="s">
        <v>1502</v>
      </c>
      <c r="D65" s="476">
        <v>105400</v>
      </c>
      <c r="E65" s="475">
        <v>110843.91498565674</v>
      </c>
      <c r="F65" s="476">
        <f>D256</f>
        <v>68000</v>
      </c>
      <c r="G65" s="476">
        <f>D65-F65</f>
        <v>37400</v>
      </c>
      <c r="H65" s="477">
        <f>E65-F65</f>
        <v>42843.91498565674</v>
      </c>
    </row>
    <row r="66" spans="2:8" s="335" customFormat="1" ht="12.75">
      <c r="B66" s="439" t="s">
        <v>1740</v>
      </c>
      <c r="C66" s="200" t="s">
        <v>1503</v>
      </c>
      <c r="D66" s="476">
        <v>62000</v>
      </c>
      <c r="E66" s="475">
        <v>66571.55513763428</v>
      </c>
      <c r="F66" s="476">
        <f>E256</f>
        <v>40000</v>
      </c>
      <c r="G66" s="476">
        <f>D66-F66</f>
        <v>22000</v>
      </c>
      <c r="H66" s="477">
        <f>E66-F66</f>
        <v>26571.555137634277</v>
      </c>
    </row>
    <row r="67" spans="2:8" s="335" customFormat="1" ht="12.75">
      <c r="B67" s="439" t="s">
        <v>1693</v>
      </c>
      <c r="C67" s="200" t="s">
        <v>1741</v>
      </c>
      <c r="D67" s="476">
        <v>62000</v>
      </c>
      <c r="E67" s="475">
        <v>66571.55513763428</v>
      </c>
      <c r="F67" s="476">
        <f>F256</f>
        <v>40000</v>
      </c>
      <c r="G67" s="476">
        <f>D67-F67</f>
        <v>22000</v>
      </c>
      <c r="H67" s="477">
        <f>E67-F67</f>
        <v>26571.555137634277</v>
      </c>
    </row>
    <row r="68" spans="2:8" s="335" customFormat="1" ht="13.5" customHeight="1">
      <c r="B68" s="439" t="s">
        <v>1656</v>
      </c>
      <c r="C68" s="200" t="s">
        <v>1657</v>
      </c>
      <c r="D68" s="476">
        <v>43400</v>
      </c>
      <c r="E68" s="475">
        <v>45641.61205291748</v>
      </c>
      <c r="F68" s="476">
        <f>G256</f>
        <v>28000</v>
      </c>
      <c r="G68" s="476">
        <f>D68-F68</f>
        <v>15400</v>
      </c>
      <c r="H68" s="477">
        <f>E68-F68</f>
        <v>17641.61205291748</v>
      </c>
    </row>
    <row r="69" spans="2:8" s="335" customFormat="1" ht="13.5" customHeight="1">
      <c r="B69" s="336"/>
      <c r="C69" s="337" t="s">
        <v>1506</v>
      </c>
      <c r="D69" s="478">
        <f>SUM(D65:D68)</f>
        <v>272800</v>
      </c>
      <c r="E69" s="478">
        <f>SUM(E65:E68)</f>
        <v>289628.6373138428</v>
      </c>
      <c r="F69" s="478">
        <f>SUM(F65:F68)</f>
        <v>176000</v>
      </c>
      <c r="G69" s="478">
        <f>D69-F69</f>
        <v>96800</v>
      </c>
      <c r="H69" s="479">
        <f>E69-F69</f>
        <v>113628.63731384277</v>
      </c>
    </row>
    <row r="70" spans="2:6" s="335" customFormat="1" ht="13.5" customHeight="1">
      <c r="B70" s="343"/>
      <c r="C70" s="200"/>
      <c r="D70" s="342"/>
      <c r="E70" s="342"/>
      <c r="F70" s="344"/>
    </row>
    <row r="71" spans="2:8" s="335" customFormat="1" ht="13.5" customHeight="1">
      <c r="B71" s="510" t="s">
        <v>1512</v>
      </c>
      <c r="C71" s="511"/>
      <c r="D71" s="511"/>
      <c r="E71" s="511"/>
      <c r="F71" s="511"/>
      <c r="G71" s="511"/>
      <c r="H71" s="482"/>
    </row>
    <row r="72" spans="2:8" s="335" customFormat="1" ht="13.5" customHeight="1">
      <c r="B72" s="439" t="s">
        <v>50</v>
      </c>
      <c r="C72" s="200" t="s">
        <v>1587</v>
      </c>
      <c r="D72" s="476">
        <v>16500</v>
      </c>
      <c r="E72" s="475">
        <v>17716.623544692993</v>
      </c>
      <c r="F72" s="476">
        <f>D266</f>
        <v>16500</v>
      </c>
      <c r="G72" s="476">
        <f>D72-F72</f>
        <v>0</v>
      </c>
      <c r="H72" s="477">
        <f>E72-F72</f>
        <v>1216.6235446929932</v>
      </c>
    </row>
    <row r="73" spans="2:8" s="335" customFormat="1" ht="13.5" customHeight="1">
      <c r="B73" s="439" t="s">
        <v>1766</v>
      </c>
      <c r="C73" s="200" t="s">
        <v>1525</v>
      </c>
      <c r="D73" s="476">
        <v>7500</v>
      </c>
      <c r="E73" s="475">
        <v>8053.010702133179</v>
      </c>
      <c r="F73" s="476">
        <f>F266</f>
        <v>7500</v>
      </c>
      <c r="G73" s="476">
        <f>D73-F73</f>
        <v>0</v>
      </c>
      <c r="H73" s="477">
        <f>E73-F73</f>
        <v>553.0107021331787</v>
      </c>
    </row>
    <row r="74" spans="2:8" s="335" customFormat="1" ht="13.5" customHeight="1">
      <c r="B74" s="439" t="s">
        <v>1721</v>
      </c>
      <c r="C74" s="200" t="s">
        <v>1525</v>
      </c>
      <c r="D74" s="476">
        <v>7500</v>
      </c>
      <c r="E74" s="475">
        <v>8053.010702133179</v>
      </c>
      <c r="F74" s="476">
        <f>E266</f>
        <v>7500</v>
      </c>
      <c r="G74" s="476">
        <f>D74-F74</f>
        <v>0</v>
      </c>
      <c r="H74" s="477">
        <f>E74-F74</f>
        <v>553.0107021331787</v>
      </c>
    </row>
    <row r="75" spans="2:8" s="335" customFormat="1" ht="13.5" customHeight="1">
      <c r="B75" s="439" t="s">
        <v>1682</v>
      </c>
      <c r="C75" s="200" t="s">
        <v>1525</v>
      </c>
      <c r="D75" s="476">
        <v>6000</v>
      </c>
      <c r="E75" s="475">
        <v>6442.408561706543</v>
      </c>
      <c r="F75" s="476">
        <f>G266</f>
        <v>6000</v>
      </c>
      <c r="G75" s="476">
        <f>D75-F75</f>
        <v>0</v>
      </c>
      <c r="H75" s="477">
        <f>E75-F75</f>
        <v>442.40856170654297</v>
      </c>
    </row>
    <row r="76" spans="2:8" s="335" customFormat="1" ht="13.5" customHeight="1">
      <c r="B76" s="336"/>
      <c r="C76" s="337" t="s">
        <v>1511</v>
      </c>
      <c r="D76" s="478">
        <f>SUM(D72:D75)</f>
        <v>37500</v>
      </c>
      <c r="E76" s="478">
        <f>SUM(E72:E75)</f>
        <v>40265.05351066589</v>
      </c>
      <c r="F76" s="478">
        <f>SUM(F72:F75)</f>
        <v>37500</v>
      </c>
      <c r="G76" s="478">
        <f>D76-F76</f>
        <v>0</v>
      </c>
      <c r="H76" s="479">
        <f>E76-F76</f>
        <v>2765.0535106658936</v>
      </c>
    </row>
    <row r="77" spans="2:6" s="335" customFormat="1" ht="13.5" customHeight="1">
      <c r="B77" s="200"/>
      <c r="C77" s="200"/>
      <c r="D77" s="342"/>
      <c r="E77" s="342"/>
      <c r="F77" s="341"/>
    </row>
    <row r="78" spans="2:6" s="335" customFormat="1" ht="13.5" customHeight="1">
      <c r="B78" s="200"/>
      <c r="C78" s="200"/>
      <c r="D78" s="342"/>
      <c r="E78" s="342"/>
      <c r="F78" s="341"/>
    </row>
    <row r="79" spans="2:8" s="335" customFormat="1" ht="13.5" customHeight="1">
      <c r="B79" s="510" t="s">
        <v>1514</v>
      </c>
      <c r="C79" s="511"/>
      <c r="D79" s="511"/>
      <c r="E79" s="511"/>
      <c r="F79" s="511"/>
      <c r="G79" s="511"/>
      <c r="H79" s="482"/>
    </row>
    <row r="80" spans="2:8" s="335" customFormat="1" ht="13.5" customHeight="1">
      <c r="B80" s="439" t="s">
        <v>1574</v>
      </c>
      <c r="C80" s="200" t="s">
        <v>1575</v>
      </c>
      <c r="D80" s="476">
        <v>0</v>
      </c>
      <c r="E80" s="476">
        <v>0</v>
      </c>
      <c r="F80" s="476">
        <f>D255*$E$218</f>
        <v>170</v>
      </c>
      <c r="G80" s="476">
        <f>D80-F80</f>
        <v>-170</v>
      </c>
      <c r="H80" s="477">
        <f>E80-F80</f>
        <v>-170</v>
      </c>
    </row>
    <row r="81" spans="2:8" s="335" customFormat="1" ht="13.5" customHeight="1">
      <c r="B81" s="439" t="s">
        <v>1744</v>
      </c>
      <c r="C81" s="200" t="s">
        <v>1745</v>
      </c>
      <c r="D81" s="476">
        <f>'WBS 10_02'!C117</f>
        <v>0</v>
      </c>
      <c r="E81" s="476">
        <v>0</v>
      </c>
      <c r="F81" s="476">
        <f>E255*$E$218</f>
        <v>100</v>
      </c>
      <c r="G81" s="476">
        <f>D81-F81</f>
        <v>-100</v>
      </c>
      <c r="H81" s="477">
        <f>E81-F81</f>
        <v>-100</v>
      </c>
    </row>
    <row r="82" spans="2:8" s="335" customFormat="1" ht="13.5" customHeight="1">
      <c r="B82" s="439" t="s">
        <v>1695</v>
      </c>
      <c r="C82" s="200" t="s">
        <v>1696</v>
      </c>
      <c r="D82" s="476">
        <v>0</v>
      </c>
      <c r="E82" s="476">
        <v>0</v>
      </c>
      <c r="F82" s="476">
        <f>E255*$E$218</f>
        <v>100</v>
      </c>
      <c r="G82" s="476">
        <f>D82-F82</f>
        <v>-100</v>
      </c>
      <c r="H82" s="477">
        <f>E82-F82</f>
        <v>-100</v>
      </c>
    </row>
    <row r="83" spans="2:8" s="335" customFormat="1" ht="13.5" customHeight="1">
      <c r="B83" s="439" t="s">
        <v>1659</v>
      </c>
      <c r="C83" s="200" t="s">
        <v>1696</v>
      </c>
      <c r="D83" s="476">
        <v>0</v>
      </c>
      <c r="E83" s="476">
        <v>0</v>
      </c>
      <c r="F83" s="476">
        <f>G255*$E$218</f>
        <v>70</v>
      </c>
      <c r="G83" s="476">
        <f>D83-F83</f>
        <v>-70</v>
      </c>
      <c r="H83" s="477">
        <f>E83-F83</f>
        <v>-70</v>
      </c>
    </row>
    <row r="84" spans="2:8" s="335" customFormat="1" ht="13.5" customHeight="1">
      <c r="B84" s="336"/>
      <c r="C84" s="337" t="s">
        <v>1505</v>
      </c>
      <c r="D84" s="478">
        <f>SUM(D80:D83)</f>
        <v>0</v>
      </c>
      <c r="E84" s="478">
        <v>0</v>
      </c>
      <c r="F84" s="478">
        <f>SUM(F80:F83)</f>
        <v>440</v>
      </c>
      <c r="G84" s="478">
        <f>D84-F84</f>
        <v>-440</v>
      </c>
      <c r="H84" s="479">
        <f>E84-F84</f>
        <v>-440</v>
      </c>
    </row>
    <row r="85" spans="2:6" s="335" customFormat="1" ht="13.5" customHeight="1">
      <c r="B85" s="343"/>
      <c r="C85" s="200"/>
      <c r="D85" s="342"/>
      <c r="E85" s="342"/>
      <c r="F85" s="344"/>
    </row>
    <row r="86" spans="2:8" s="335" customFormat="1" ht="13.5" customHeight="1">
      <c r="B86" s="510" t="s">
        <v>1517</v>
      </c>
      <c r="C86" s="511"/>
      <c r="D86" s="511"/>
      <c r="E86" s="511"/>
      <c r="F86" s="511"/>
      <c r="G86" s="511"/>
      <c r="H86" s="482"/>
    </row>
    <row r="87" spans="2:8" s="335" customFormat="1" ht="12.75">
      <c r="B87" s="439" t="s">
        <v>1830</v>
      </c>
      <c r="C87" s="200" t="s">
        <v>1633</v>
      </c>
      <c r="D87" s="475">
        <v>45255</v>
      </c>
      <c r="E87" s="475">
        <v>48591.8665766716</v>
      </c>
      <c r="F87" s="476">
        <f>D244+D246</f>
        <v>45255</v>
      </c>
      <c r="G87" s="476">
        <f>D87-F87</f>
        <v>0</v>
      </c>
      <c r="H87" s="477">
        <f>E87-F87</f>
        <v>3336.8665766716003</v>
      </c>
    </row>
    <row r="88" spans="2:8" s="335" customFormat="1" ht="12.75">
      <c r="B88" s="439" t="s">
        <v>1748</v>
      </c>
      <c r="C88" s="200" t="s">
        <v>1643</v>
      </c>
      <c r="D88" s="475">
        <v>36204</v>
      </c>
      <c r="E88" s="475">
        <v>38873.49326133728</v>
      </c>
      <c r="F88" s="476">
        <f>E244+E246</f>
        <v>36204</v>
      </c>
      <c r="G88" s="476">
        <f>D88-F88</f>
        <v>0</v>
      </c>
      <c r="H88" s="477">
        <f>E88-F88</f>
        <v>2669.4932613372803</v>
      </c>
    </row>
    <row r="89" spans="2:8" s="335" customFormat="1" ht="12.75">
      <c r="B89" s="439" t="s">
        <v>1699</v>
      </c>
      <c r="C89" s="200" t="s">
        <v>1648</v>
      </c>
      <c r="D89" s="475">
        <v>36204</v>
      </c>
      <c r="E89" s="475">
        <v>38873.49326133728</v>
      </c>
      <c r="F89" s="476">
        <f>E244+E246</f>
        <v>36204</v>
      </c>
      <c r="G89" s="476">
        <f>D89-F89</f>
        <v>0</v>
      </c>
      <c r="H89" s="477">
        <f>E89-F89</f>
        <v>2669.4932613372803</v>
      </c>
    </row>
    <row r="90" spans="2:8" s="335" customFormat="1" ht="12.75">
      <c r="B90" s="439" t="s">
        <v>1662</v>
      </c>
      <c r="C90" s="200" t="s">
        <v>1649</v>
      </c>
      <c r="D90" s="475">
        <v>27153</v>
      </c>
      <c r="E90" s="475">
        <v>29155.11994600296</v>
      </c>
      <c r="F90" s="476">
        <f>G244+G246</f>
        <v>27153</v>
      </c>
      <c r="G90" s="476">
        <f>D90-F90</f>
        <v>0</v>
      </c>
      <c r="H90" s="477">
        <f>E90-F90</f>
        <v>2002.1199460029602</v>
      </c>
    </row>
    <row r="91" spans="2:8" s="335" customFormat="1" ht="12.75">
      <c r="B91" s="336"/>
      <c r="C91" s="337" t="s">
        <v>1504</v>
      </c>
      <c r="D91" s="478">
        <f>SUM(D87:D90)</f>
        <v>144816</v>
      </c>
      <c r="E91" s="478">
        <f>SUM(E87:E90)</f>
        <v>155493.97304534912</v>
      </c>
      <c r="F91" s="478">
        <f>SUM(F87:F90)</f>
        <v>144816</v>
      </c>
      <c r="G91" s="478">
        <f>D91-F91</f>
        <v>0</v>
      </c>
      <c r="H91" s="479">
        <f>E91-F91</f>
        <v>10677.973045349121</v>
      </c>
    </row>
    <row r="92" spans="2:6" s="335" customFormat="1" ht="12.75">
      <c r="B92" s="343"/>
      <c r="C92" s="343"/>
      <c r="D92" s="345"/>
      <c r="E92" s="345"/>
      <c r="F92" s="344"/>
    </row>
    <row r="93" spans="2:10" s="335" customFormat="1" ht="12.75">
      <c r="B93" s="510" t="s">
        <v>1518</v>
      </c>
      <c r="C93" s="511"/>
      <c r="D93" s="511"/>
      <c r="E93" s="511"/>
      <c r="F93" s="511"/>
      <c r="G93" s="511"/>
      <c r="H93" s="482"/>
      <c r="I93" s="515" t="s">
        <v>758</v>
      </c>
      <c r="J93" s="515"/>
    </row>
    <row r="94" spans="2:11" s="335" customFormat="1" ht="12.75">
      <c r="B94" s="439" t="s">
        <v>1839</v>
      </c>
      <c r="C94" s="200" t="s">
        <v>1634</v>
      </c>
      <c r="D94" s="475">
        <v>9000</v>
      </c>
      <c r="E94" s="475">
        <v>9663.612842559814</v>
      </c>
      <c r="F94" s="476">
        <f>D240+D242</f>
        <v>9000</v>
      </c>
      <c r="G94" s="476">
        <f>D94-F94</f>
        <v>0</v>
      </c>
      <c r="H94" s="477">
        <f>E94-F94</f>
        <v>663.6128425598145</v>
      </c>
      <c r="J94" s="335" t="s">
        <v>750</v>
      </c>
      <c r="K94" s="335">
        <v>100</v>
      </c>
    </row>
    <row r="95" spans="2:11" s="335" customFormat="1" ht="12.75">
      <c r="B95" s="439" t="s">
        <v>1754</v>
      </c>
      <c r="C95" s="200" t="s">
        <v>1637</v>
      </c>
      <c r="D95" s="475">
        <v>9000</v>
      </c>
      <c r="E95" s="475">
        <v>9663.612842559814</v>
      </c>
      <c r="F95" s="476">
        <f>E240+E242</f>
        <v>9000</v>
      </c>
      <c r="G95" s="476">
        <f>D95-F95</f>
        <v>0</v>
      </c>
      <c r="H95" s="477">
        <f>E95-F95</f>
        <v>663.6128425598145</v>
      </c>
      <c r="J95" s="335" t="s">
        <v>751</v>
      </c>
      <c r="K95" s="335">
        <v>5</v>
      </c>
    </row>
    <row r="96" spans="2:11" s="335" customFormat="1" ht="12.75">
      <c r="B96" s="439" t="s">
        <v>1703</v>
      </c>
      <c r="C96" s="200" t="s">
        <v>1645</v>
      </c>
      <c r="D96" s="475">
        <v>9000</v>
      </c>
      <c r="E96" s="475">
        <v>9663.612842559814</v>
      </c>
      <c r="F96" s="476">
        <f>E240+F242</f>
        <v>9000</v>
      </c>
      <c r="G96" s="476">
        <f>D96-F96</f>
        <v>0</v>
      </c>
      <c r="H96" s="477">
        <f>E96-F96</f>
        <v>663.6128425598145</v>
      </c>
      <c r="J96" s="335" t="s">
        <v>752</v>
      </c>
      <c r="K96" s="335">
        <v>30</v>
      </c>
    </row>
    <row r="97" spans="2:11" s="335" customFormat="1" ht="12.75">
      <c r="B97" s="439" t="s">
        <v>1665</v>
      </c>
      <c r="C97" s="200" t="s">
        <v>1646</v>
      </c>
      <c r="D97" s="475">
        <v>9000</v>
      </c>
      <c r="E97" s="475">
        <v>9663.612842559814</v>
      </c>
      <c r="F97" s="476">
        <f>G240+G242</f>
        <v>9000</v>
      </c>
      <c r="G97" s="476">
        <f>D97-F97</f>
        <v>0</v>
      </c>
      <c r="H97" s="477">
        <f>E97-F97</f>
        <v>663.6128425598145</v>
      </c>
      <c r="J97" s="335" t="s">
        <v>753</v>
      </c>
      <c r="K97" s="335">
        <v>20</v>
      </c>
    </row>
    <row r="98" spans="2:11" s="335" customFormat="1" ht="12.75">
      <c r="B98" s="336"/>
      <c r="C98" s="337" t="s">
        <v>1509</v>
      </c>
      <c r="D98" s="478">
        <f>SUM(D94:D97)</f>
        <v>36000</v>
      </c>
      <c r="E98" s="478">
        <f>SUM(E94:E97)</f>
        <v>38654.45137023926</v>
      </c>
      <c r="F98" s="478">
        <f>SUM(F94:F97)</f>
        <v>36000</v>
      </c>
      <c r="G98" s="478">
        <f>D98-F98</f>
        <v>0</v>
      </c>
      <c r="H98" s="479">
        <f>E98-F98</f>
        <v>2654.451370239258</v>
      </c>
      <c r="J98" s="335" t="s">
        <v>754</v>
      </c>
      <c r="K98" s="335">
        <v>100</v>
      </c>
    </row>
    <row r="99" spans="2:11" s="335" customFormat="1" ht="12.75">
      <c r="B99" s="343"/>
      <c r="C99" s="343"/>
      <c r="D99" s="344"/>
      <c r="E99" s="344"/>
      <c r="F99" s="344"/>
      <c r="J99" s="335" t="s">
        <v>755</v>
      </c>
      <c r="K99" s="335">
        <v>30</v>
      </c>
    </row>
    <row r="100" spans="2:11" s="335" customFormat="1" ht="12.75">
      <c r="B100" s="510" t="s">
        <v>1044</v>
      </c>
      <c r="C100" s="511"/>
      <c r="D100" s="511"/>
      <c r="E100" s="511"/>
      <c r="F100" s="511"/>
      <c r="G100" s="511"/>
      <c r="H100" s="482"/>
      <c r="J100" s="335" t="s">
        <v>756</v>
      </c>
      <c r="K100" s="335">
        <v>50</v>
      </c>
    </row>
    <row r="101" spans="2:11" s="335" customFormat="1" ht="12.75">
      <c r="B101" s="439" t="s">
        <v>1033</v>
      </c>
      <c r="C101" s="200" t="s">
        <v>1636</v>
      </c>
      <c r="D101" s="475">
        <v>143750</v>
      </c>
      <c r="E101" s="475">
        <v>151174.69429969788</v>
      </c>
      <c r="F101" s="476">
        <f>H232</f>
        <v>143750</v>
      </c>
      <c r="G101" s="484">
        <f>D101-F101</f>
        <v>0</v>
      </c>
      <c r="H101" s="483">
        <f>E101-F101</f>
        <v>7424.694299697876</v>
      </c>
      <c r="J101" s="335" t="s">
        <v>757</v>
      </c>
      <c r="K101" s="335">
        <v>100</v>
      </c>
    </row>
    <row r="102" spans="2:11" s="335" customFormat="1" ht="12.75">
      <c r="B102" s="439" t="s">
        <v>1104</v>
      </c>
      <c r="C102" s="200" t="s">
        <v>1635</v>
      </c>
      <c r="D102" s="475">
        <v>66000</v>
      </c>
      <c r="E102" s="475">
        <v>70866.49417877197</v>
      </c>
      <c r="F102" s="476">
        <v>0</v>
      </c>
      <c r="G102" s="476">
        <f>D102-F102</f>
        <v>66000</v>
      </c>
      <c r="H102" s="477">
        <f>E102-F102</f>
        <v>70866.49417877197</v>
      </c>
      <c r="K102" s="335">
        <f>SUM(K94:K101)</f>
        <v>435</v>
      </c>
    </row>
    <row r="103" spans="2:8" s="335" customFormat="1" ht="12.75">
      <c r="B103" s="336"/>
      <c r="C103" s="337" t="s">
        <v>1510</v>
      </c>
      <c r="D103" s="478">
        <f>SUM(D101:D102)</f>
        <v>209750</v>
      </c>
      <c r="E103" s="478">
        <f>SUM(E101:E102)</f>
        <v>222041.18847846985</v>
      </c>
      <c r="F103" s="478">
        <f>SUM(F101:F102)</f>
        <v>143750</v>
      </c>
      <c r="G103" s="478">
        <f>D103-F103</f>
        <v>66000</v>
      </c>
      <c r="H103" s="479">
        <f>E103-F103</f>
        <v>78291.18847846985</v>
      </c>
    </row>
    <row r="104" spans="2:6" s="335" customFormat="1" ht="12.75">
      <c r="B104" s="200"/>
      <c r="C104" s="200"/>
      <c r="D104" s="341"/>
      <c r="E104" s="341"/>
      <c r="F104" s="341"/>
    </row>
    <row r="105" spans="2:8" s="335" customFormat="1" ht="12.75">
      <c r="B105" s="510" t="s">
        <v>1515</v>
      </c>
      <c r="C105" s="511"/>
      <c r="D105" s="511"/>
      <c r="E105" s="511"/>
      <c r="F105" s="511"/>
      <c r="G105" s="511"/>
      <c r="H105" s="482"/>
    </row>
    <row r="106" spans="2:8" s="335" customFormat="1" ht="12.75">
      <c r="B106" s="439" t="s">
        <v>3</v>
      </c>
      <c r="C106" s="200" t="s">
        <v>1639</v>
      </c>
      <c r="D106" s="475">
        <v>100800</v>
      </c>
      <c r="E106" s="475">
        <v>108232.46383666992</v>
      </c>
      <c r="F106" s="476">
        <f>D236</f>
        <v>47520</v>
      </c>
      <c r="G106" s="476">
        <f>D106-F106</f>
        <v>53280</v>
      </c>
      <c r="H106" s="477">
        <f>E106-F106</f>
        <v>60712.46383666992</v>
      </c>
    </row>
    <row r="107" spans="2:8" s="335" customFormat="1" ht="12.75">
      <c r="B107" s="434" t="s">
        <v>664</v>
      </c>
      <c r="C107" s="200" t="s">
        <v>665</v>
      </c>
      <c r="D107" s="481">
        <v>30000</v>
      </c>
      <c r="E107" s="475">
        <v>32212.042808532715</v>
      </c>
      <c r="F107" s="476">
        <f>F236+F232</f>
        <v>33700</v>
      </c>
      <c r="G107" s="476">
        <f>D107-F107</f>
        <v>-3700</v>
      </c>
      <c r="H107" s="477">
        <f>E107-F107</f>
        <v>-1487.9571914672852</v>
      </c>
    </row>
    <row r="108" spans="2:8" s="335" customFormat="1" ht="12.75">
      <c r="B108" s="434" t="s">
        <v>1706</v>
      </c>
      <c r="C108" s="200" t="s">
        <v>1640</v>
      </c>
      <c r="D108" s="475">
        <v>75600</v>
      </c>
      <c r="E108" s="475">
        <v>81174.34787750244</v>
      </c>
      <c r="F108" s="476">
        <f>E236</f>
        <v>35640</v>
      </c>
      <c r="G108" s="476">
        <f>D108-F108</f>
        <v>39960</v>
      </c>
      <c r="H108" s="477">
        <f>E108-F108</f>
        <v>45534.34787750244</v>
      </c>
    </row>
    <row r="109" spans="2:8" s="335" customFormat="1" ht="12.75">
      <c r="B109" s="439" t="s">
        <v>1675</v>
      </c>
      <c r="C109" s="200" t="s">
        <v>1641</v>
      </c>
      <c r="D109" s="475">
        <v>6300</v>
      </c>
      <c r="E109" s="475">
        <v>6764.52898979187</v>
      </c>
      <c r="F109" s="476">
        <f>G236</f>
        <v>2970</v>
      </c>
      <c r="G109" s="476">
        <f>D109-F109</f>
        <v>3330</v>
      </c>
      <c r="H109" s="477">
        <f>E109-F109</f>
        <v>3794.52898979187</v>
      </c>
    </row>
    <row r="110" spans="2:8" s="335" customFormat="1" ht="12.75">
      <c r="B110" s="221"/>
      <c r="C110" s="337" t="s">
        <v>1642</v>
      </c>
      <c r="D110" s="478">
        <f>SUM(D106:D109)</f>
        <v>212700</v>
      </c>
      <c r="E110" s="478">
        <f>SUM(E106:E109)</f>
        <v>228383.38351249695</v>
      </c>
      <c r="F110" s="478">
        <f>SUM(F106:F109)</f>
        <v>119830</v>
      </c>
      <c r="G110" s="478">
        <f>D110-F110</f>
        <v>92870</v>
      </c>
      <c r="H110" s="479">
        <f>E110-F110</f>
        <v>108553.38351249695</v>
      </c>
    </row>
    <row r="111" spans="2:6" s="335" customFormat="1" ht="12.75">
      <c r="B111" s="200"/>
      <c r="C111" s="200"/>
      <c r="D111" s="341"/>
      <c r="E111" s="341"/>
      <c r="F111" s="341"/>
    </row>
    <row r="112" spans="2:8" s="335" customFormat="1" ht="12.75">
      <c r="B112" s="510" t="s">
        <v>1516</v>
      </c>
      <c r="C112" s="511"/>
      <c r="D112" s="511"/>
      <c r="E112" s="511"/>
      <c r="F112" s="511"/>
      <c r="G112" s="511"/>
      <c r="H112" s="482"/>
    </row>
    <row r="113" spans="2:8" s="335" customFormat="1" ht="12.75">
      <c r="B113" s="439" t="s">
        <v>53</v>
      </c>
      <c r="C113" s="200" t="s">
        <v>1589</v>
      </c>
      <c r="D113" s="341">
        <v>0</v>
      </c>
      <c r="E113" s="341">
        <v>0</v>
      </c>
      <c r="F113" s="341">
        <f>D265*$E$218</f>
        <v>110</v>
      </c>
      <c r="G113" s="341">
        <f>D113-F113</f>
        <v>-110</v>
      </c>
      <c r="H113" s="440">
        <f>E113-F113</f>
        <v>-110</v>
      </c>
    </row>
    <row r="114" spans="2:8" s="335" customFormat="1" ht="12.75">
      <c r="B114" s="439" t="s">
        <v>1769</v>
      </c>
      <c r="C114" s="200" t="s">
        <v>1589</v>
      </c>
      <c r="D114" s="341">
        <v>0</v>
      </c>
      <c r="E114" s="341">
        <v>0</v>
      </c>
      <c r="F114" s="341">
        <f>F265*$E$218</f>
        <v>50</v>
      </c>
      <c r="G114" s="341">
        <f>D114-F114</f>
        <v>-50</v>
      </c>
      <c r="H114" s="440">
        <f>E114-F114</f>
        <v>-50</v>
      </c>
    </row>
    <row r="115" spans="2:8" s="335" customFormat="1" ht="12.75">
      <c r="B115" s="439" t="s">
        <v>1723</v>
      </c>
      <c r="C115" s="200" t="s">
        <v>1589</v>
      </c>
      <c r="D115" s="341">
        <v>0</v>
      </c>
      <c r="E115" s="341">
        <v>0</v>
      </c>
      <c r="F115" s="341">
        <f>E265*$E$218</f>
        <v>50</v>
      </c>
      <c r="G115" s="341">
        <f>D115-F115</f>
        <v>-50</v>
      </c>
      <c r="H115" s="440">
        <f>E115-F115</f>
        <v>-50</v>
      </c>
    </row>
    <row r="116" spans="2:8" s="335" customFormat="1" ht="12.75">
      <c r="B116" s="439" t="s">
        <v>1684</v>
      </c>
      <c r="C116" s="200" t="s">
        <v>1589</v>
      </c>
      <c r="D116" s="341">
        <v>0</v>
      </c>
      <c r="E116" s="341">
        <v>0</v>
      </c>
      <c r="F116" s="341">
        <f>G265*$E$218</f>
        <v>40</v>
      </c>
      <c r="G116" s="341">
        <f>D116-F116</f>
        <v>-40</v>
      </c>
      <c r="H116" s="440">
        <f>E116-F116</f>
        <v>-40</v>
      </c>
    </row>
    <row r="117" spans="2:8" s="335" customFormat="1" ht="12.75">
      <c r="B117" s="336"/>
      <c r="C117" s="337" t="s">
        <v>1519</v>
      </c>
      <c r="D117" s="338">
        <f>SUM(D113:D116)</f>
        <v>0</v>
      </c>
      <c r="E117" s="338">
        <v>0</v>
      </c>
      <c r="F117" s="338">
        <f>SUM(F113:F116)</f>
        <v>250</v>
      </c>
      <c r="G117" s="338">
        <f>D117-F117</f>
        <v>-250</v>
      </c>
      <c r="H117" s="339">
        <f>E117-F117</f>
        <v>-250</v>
      </c>
    </row>
    <row r="118" spans="4:6" ht="12.75">
      <c r="D118" s="322"/>
      <c r="E118" s="320"/>
      <c r="F118" s="320"/>
    </row>
    <row r="119" spans="3:8" ht="12.75">
      <c r="C119" t="s">
        <v>1568</v>
      </c>
      <c r="D119" s="447">
        <f>D55+D62+D69+D76+D84+D91+D98+D103+D110+D117</f>
        <v>1745512</v>
      </c>
      <c r="E119" s="447">
        <f>E55+E62+E69+E76+E84+E91+E98+E103+E110+E117</f>
        <v>1867756.026110649</v>
      </c>
      <c r="F119" s="447">
        <f>F55+F62+F69+F76+F84+F91+F98+F103+F110+F117</f>
        <v>1754884</v>
      </c>
      <c r="G119" s="341">
        <f>D119-F119</f>
        <v>-9372</v>
      </c>
      <c r="H119" s="447">
        <f>E119-F119</f>
        <v>112872.02611064911</v>
      </c>
    </row>
    <row r="120" spans="4:6" ht="12.75">
      <c r="D120" s="322"/>
      <c r="E120" s="320"/>
      <c r="F120" s="320"/>
    </row>
    <row r="121" spans="3:6" ht="12.75">
      <c r="C121" t="s">
        <v>35</v>
      </c>
      <c r="D121" s="322" t="s">
        <v>36</v>
      </c>
      <c r="E121" s="320" t="s">
        <v>37</v>
      </c>
      <c r="F121" s="320" t="s">
        <v>237</v>
      </c>
    </row>
    <row r="122" spans="3:7" ht="12.75">
      <c r="C122" t="s">
        <v>1053</v>
      </c>
      <c r="D122" s="472">
        <v>54</v>
      </c>
      <c r="E122" s="472">
        <f>D243</f>
        <v>5</v>
      </c>
      <c r="F122" s="472">
        <f>D122+E122</f>
        <v>59</v>
      </c>
      <c r="G122" s="472"/>
    </row>
    <row r="123" spans="3:7" ht="12.75">
      <c r="C123" t="s">
        <v>1054</v>
      </c>
      <c r="D123" s="472">
        <v>54</v>
      </c>
      <c r="E123" s="472">
        <f>E243</f>
        <v>4</v>
      </c>
      <c r="F123" s="472">
        <f>D123+E123</f>
        <v>58</v>
      </c>
      <c r="G123" s="472"/>
    </row>
    <row r="124" spans="3:7" ht="12.75">
      <c r="C124" t="s">
        <v>1055</v>
      </c>
      <c r="D124" s="472">
        <v>48</v>
      </c>
      <c r="E124" s="472">
        <f>F243</f>
        <v>4</v>
      </c>
      <c r="F124" s="472">
        <f>D124+E124</f>
        <v>52</v>
      </c>
      <c r="G124" s="472"/>
    </row>
    <row r="125" spans="3:7" ht="12.75">
      <c r="C125" t="s">
        <v>1056</v>
      </c>
      <c r="D125" s="472">
        <v>36</v>
      </c>
      <c r="E125" s="472">
        <f>G243</f>
        <v>3</v>
      </c>
      <c r="F125" s="472">
        <f>D125+E125</f>
        <v>39</v>
      </c>
      <c r="G125" s="472"/>
    </row>
    <row r="126" spans="4:6" ht="12.75">
      <c r="D126" s="322"/>
      <c r="E126" s="320"/>
      <c r="F126" s="320"/>
    </row>
    <row r="127" ht="12.75">
      <c r="D127" s="321"/>
    </row>
    <row r="128" spans="3:15" ht="12.75">
      <c r="C128" s="245" t="s">
        <v>1053</v>
      </c>
      <c r="D128" s="473">
        <f>F122</f>
        <v>59</v>
      </c>
      <c r="E128" s="444">
        <v>0.2</v>
      </c>
      <c r="F128" s="441">
        <f>INT(D128*E128+0.9)</f>
        <v>12</v>
      </c>
      <c r="G128" s="331"/>
      <c r="H128" s="506" t="s">
        <v>222</v>
      </c>
      <c r="I128" s="506"/>
      <c r="J128" s="445" t="s">
        <v>568</v>
      </c>
      <c r="K128" s="445">
        <v>10</v>
      </c>
      <c r="L128" s="506" t="s">
        <v>1035</v>
      </c>
      <c r="M128" s="506"/>
      <c r="N128" s="506" t="s">
        <v>237</v>
      </c>
      <c r="O128" s="507"/>
    </row>
    <row r="129" spans="3:15" ht="12.75">
      <c r="C129" s="184" t="s">
        <v>1038</v>
      </c>
      <c r="D129" s="184" t="s">
        <v>211</v>
      </c>
      <c r="E129" s="106" t="s">
        <v>1039</v>
      </c>
      <c r="F129" s="106" t="s">
        <v>168</v>
      </c>
      <c r="G129" s="139" t="s">
        <v>1035</v>
      </c>
      <c r="H129" s="200" t="s">
        <v>250</v>
      </c>
      <c r="I129" s="200" t="s">
        <v>168</v>
      </c>
      <c r="J129" s="200" t="s">
        <v>250</v>
      </c>
      <c r="K129" s="200" t="s">
        <v>168</v>
      </c>
      <c r="L129" s="200" t="s">
        <v>250</v>
      </c>
      <c r="M129" s="200" t="s">
        <v>168</v>
      </c>
      <c r="N129" s="200" t="s">
        <v>250</v>
      </c>
      <c r="O129" s="443" t="s">
        <v>168</v>
      </c>
    </row>
    <row r="130" spans="3:15" ht="12.75">
      <c r="C130" s="113" t="s">
        <v>183</v>
      </c>
      <c r="D130" s="106">
        <v>2</v>
      </c>
      <c r="E130" s="240">
        <v>743</v>
      </c>
      <c r="F130" s="240">
        <f>D130*E130</f>
        <v>1486</v>
      </c>
      <c r="G130" s="474">
        <f>$E$128</f>
        <v>0.2</v>
      </c>
      <c r="H130" s="442">
        <f>D130*$D$128</f>
        <v>118</v>
      </c>
      <c r="I130" s="240">
        <f>H130*E130</f>
        <v>87674</v>
      </c>
      <c r="J130" s="106">
        <f>D130*$K$128</f>
        <v>20</v>
      </c>
      <c r="K130" s="240">
        <f>J130*E130</f>
        <v>14860</v>
      </c>
      <c r="L130" s="106">
        <f aca="true" t="shared" si="4" ref="L130:L141">D130*(G130/$E$128)*$F$128</f>
        <v>24</v>
      </c>
      <c r="M130" s="240">
        <f>L130*E130</f>
        <v>17832</v>
      </c>
      <c r="N130" s="442">
        <f>H130+L130+J130</f>
        <v>162</v>
      </c>
      <c r="O130" s="220">
        <f aca="true" t="shared" si="5" ref="O130:O141">N130*E130</f>
        <v>120366</v>
      </c>
    </row>
    <row r="131" spans="3:15" ht="12.75">
      <c r="C131" s="113" t="s">
        <v>184</v>
      </c>
      <c r="D131" s="106">
        <v>0</v>
      </c>
      <c r="E131" s="240">
        <v>472</v>
      </c>
      <c r="F131" s="240">
        <f>D131*E131</f>
        <v>0</v>
      </c>
      <c r="G131" s="474">
        <f aca="true" t="shared" si="6" ref="G131:G141">$E$128</f>
        <v>0.2</v>
      </c>
      <c r="H131" s="442">
        <f>D131*$D$128</f>
        <v>0</v>
      </c>
      <c r="I131" s="240">
        <f>H131*E131</f>
        <v>0</v>
      </c>
      <c r="J131" s="106">
        <f>D131*$K$128</f>
        <v>0</v>
      </c>
      <c r="K131" s="240">
        <f>J131*E131</f>
        <v>0</v>
      </c>
      <c r="L131" s="106">
        <f t="shared" si="4"/>
        <v>0</v>
      </c>
      <c r="M131" s="240">
        <f>L131*E131</f>
        <v>0</v>
      </c>
      <c r="N131" s="442">
        <f>H131+L131+J131</f>
        <v>0</v>
      </c>
      <c r="O131" s="220">
        <f t="shared" si="5"/>
        <v>0</v>
      </c>
    </row>
    <row r="132" spans="3:15" ht="12.75">
      <c r="C132" s="113" t="s">
        <v>1616</v>
      </c>
      <c r="D132" s="106">
        <v>8</v>
      </c>
      <c r="E132" s="240">
        <v>99</v>
      </c>
      <c r="F132" s="240">
        <f aca="true" t="shared" si="7" ref="F132:F141">D132*E132</f>
        <v>792</v>
      </c>
      <c r="G132" s="474">
        <v>0.3</v>
      </c>
      <c r="H132" s="442">
        <f>D132*$D$128</f>
        <v>472</v>
      </c>
      <c r="I132" s="240">
        <f aca="true" t="shared" si="8" ref="I132:I141">H132*E132</f>
        <v>46728</v>
      </c>
      <c r="J132" s="106">
        <f>D132*$K$128</f>
        <v>80</v>
      </c>
      <c r="K132" s="240">
        <f>J132*E132</f>
        <v>7920</v>
      </c>
      <c r="L132" s="106">
        <f>D132*(G132/$E$128)*$F$128</f>
        <v>143.99999999999997</v>
      </c>
      <c r="M132" s="240">
        <f aca="true" t="shared" si="9" ref="M132:M141">L132*E132</f>
        <v>14255.999999999996</v>
      </c>
      <c r="N132" s="442">
        <f aca="true" t="shared" si="10" ref="N132:N141">H132+L132+J132</f>
        <v>696</v>
      </c>
      <c r="O132" s="220">
        <f t="shared" si="5"/>
        <v>68904</v>
      </c>
    </row>
    <row r="133" spans="3:15" ht="12.75">
      <c r="C133" s="184" t="s">
        <v>1617</v>
      </c>
      <c r="D133" s="184">
        <v>2</v>
      </c>
      <c r="E133" s="240">
        <v>165</v>
      </c>
      <c r="F133" s="240">
        <f t="shared" si="7"/>
        <v>330</v>
      </c>
      <c r="G133" s="474">
        <f t="shared" si="6"/>
        <v>0.2</v>
      </c>
      <c r="H133" s="442">
        <f aca="true" t="shared" si="11" ref="H133:H141">D133*$D$128</f>
        <v>118</v>
      </c>
      <c r="I133" s="240">
        <f t="shared" si="8"/>
        <v>19470</v>
      </c>
      <c r="J133" s="106">
        <f aca="true" t="shared" si="12" ref="J133:J141">D133*$K$128</f>
        <v>20</v>
      </c>
      <c r="K133" s="240">
        <f aca="true" t="shared" si="13" ref="K133:K141">J133*E133</f>
        <v>3300</v>
      </c>
      <c r="L133" s="106">
        <f t="shared" si="4"/>
        <v>24</v>
      </c>
      <c r="M133" s="240">
        <f t="shared" si="9"/>
        <v>3960</v>
      </c>
      <c r="N133" s="442">
        <f t="shared" si="10"/>
        <v>162</v>
      </c>
      <c r="O133" s="220">
        <f t="shared" si="5"/>
        <v>26730</v>
      </c>
    </row>
    <row r="134" spans="3:15" ht="12.75">
      <c r="C134" s="184" t="s">
        <v>1618</v>
      </c>
      <c r="D134" s="184">
        <v>16</v>
      </c>
      <c r="E134" s="240">
        <v>13</v>
      </c>
      <c r="F134" s="240">
        <f t="shared" si="7"/>
        <v>208</v>
      </c>
      <c r="G134" s="474">
        <v>0.3</v>
      </c>
      <c r="H134" s="442">
        <f t="shared" si="11"/>
        <v>944</v>
      </c>
      <c r="I134" s="240">
        <f t="shared" si="8"/>
        <v>12272</v>
      </c>
      <c r="J134" s="106">
        <f t="shared" si="12"/>
        <v>160</v>
      </c>
      <c r="K134" s="240">
        <f t="shared" si="13"/>
        <v>2080</v>
      </c>
      <c r="L134" s="106">
        <f t="shared" si="4"/>
        <v>287.99999999999994</v>
      </c>
      <c r="M134" s="240">
        <f t="shared" si="9"/>
        <v>3743.999999999999</v>
      </c>
      <c r="N134" s="442">
        <f t="shared" si="10"/>
        <v>1392</v>
      </c>
      <c r="O134" s="220">
        <f t="shared" si="5"/>
        <v>18096</v>
      </c>
    </row>
    <row r="135" spans="3:15" ht="12.75">
      <c r="C135" s="184" t="s">
        <v>1619</v>
      </c>
      <c r="D135" s="184">
        <v>1</v>
      </c>
      <c r="E135" s="240">
        <v>50</v>
      </c>
      <c r="F135" s="240">
        <f t="shared" si="7"/>
        <v>50</v>
      </c>
      <c r="G135" s="474">
        <f t="shared" si="6"/>
        <v>0.2</v>
      </c>
      <c r="H135" s="442">
        <f t="shared" si="11"/>
        <v>59</v>
      </c>
      <c r="I135" s="240">
        <f t="shared" si="8"/>
        <v>2950</v>
      </c>
      <c r="J135" s="106">
        <f t="shared" si="12"/>
        <v>10</v>
      </c>
      <c r="K135" s="240">
        <f t="shared" si="13"/>
        <v>500</v>
      </c>
      <c r="L135" s="106">
        <f t="shared" si="4"/>
        <v>12</v>
      </c>
      <c r="M135" s="240">
        <f t="shared" si="9"/>
        <v>600</v>
      </c>
      <c r="N135" s="442">
        <f t="shared" si="10"/>
        <v>81</v>
      </c>
      <c r="O135" s="220">
        <f t="shared" si="5"/>
        <v>4050</v>
      </c>
    </row>
    <row r="136" spans="3:15" ht="12.75">
      <c r="C136" s="184" t="s">
        <v>1620</v>
      </c>
      <c r="D136" s="184">
        <v>1</v>
      </c>
      <c r="E136" s="240">
        <v>22</v>
      </c>
      <c r="F136" s="240">
        <f t="shared" si="7"/>
        <v>22</v>
      </c>
      <c r="G136" s="474">
        <f t="shared" si="6"/>
        <v>0.2</v>
      </c>
      <c r="H136" s="442">
        <f t="shared" si="11"/>
        <v>59</v>
      </c>
      <c r="I136" s="240">
        <f t="shared" si="8"/>
        <v>1298</v>
      </c>
      <c r="J136" s="106">
        <f t="shared" si="12"/>
        <v>10</v>
      </c>
      <c r="K136" s="240">
        <f t="shared" si="13"/>
        <v>220</v>
      </c>
      <c r="L136" s="106">
        <f t="shared" si="4"/>
        <v>12</v>
      </c>
      <c r="M136" s="240">
        <f t="shared" si="9"/>
        <v>264</v>
      </c>
      <c r="N136" s="442">
        <f t="shared" si="10"/>
        <v>81</v>
      </c>
      <c r="O136" s="220">
        <f t="shared" si="5"/>
        <v>1782</v>
      </c>
    </row>
    <row r="137" spans="3:15" ht="12.75">
      <c r="C137" s="184" t="s">
        <v>1621</v>
      </c>
      <c r="D137" s="184">
        <v>1</v>
      </c>
      <c r="E137" s="240">
        <v>100</v>
      </c>
      <c r="F137" s="240">
        <f t="shared" si="7"/>
        <v>100</v>
      </c>
      <c r="G137" s="474">
        <f t="shared" si="6"/>
        <v>0.2</v>
      </c>
      <c r="H137" s="442">
        <f t="shared" si="11"/>
        <v>59</v>
      </c>
      <c r="I137" s="240">
        <f t="shared" si="8"/>
        <v>5900</v>
      </c>
      <c r="J137" s="106">
        <f t="shared" si="12"/>
        <v>10</v>
      </c>
      <c r="K137" s="240">
        <f t="shared" si="13"/>
        <v>1000</v>
      </c>
      <c r="L137" s="106">
        <f t="shared" si="4"/>
        <v>12</v>
      </c>
      <c r="M137" s="240">
        <f t="shared" si="9"/>
        <v>1200</v>
      </c>
      <c r="N137" s="442">
        <f t="shared" si="10"/>
        <v>81</v>
      </c>
      <c r="O137" s="220">
        <f t="shared" si="5"/>
        <v>8100</v>
      </c>
    </row>
    <row r="138" spans="3:15" ht="12.75">
      <c r="C138" s="184" t="s">
        <v>1625</v>
      </c>
      <c r="D138" s="184">
        <v>1</v>
      </c>
      <c r="E138" s="240">
        <v>25</v>
      </c>
      <c r="F138" s="240">
        <f t="shared" si="7"/>
        <v>25</v>
      </c>
      <c r="G138" s="474">
        <f t="shared" si="6"/>
        <v>0.2</v>
      </c>
      <c r="H138" s="442">
        <f t="shared" si="11"/>
        <v>59</v>
      </c>
      <c r="I138" s="240">
        <f t="shared" si="8"/>
        <v>1475</v>
      </c>
      <c r="J138" s="106">
        <f t="shared" si="12"/>
        <v>10</v>
      </c>
      <c r="K138" s="240">
        <f t="shared" si="13"/>
        <v>250</v>
      </c>
      <c r="L138" s="106">
        <f t="shared" si="4"/>
        <v>12</v>
      </c>
      <c r="M138" s="240">
        <f t="shared" si="9"/>
        <v>300</v>
      </c>
      <c r="N138" s="442">
        <f t="shared" si="10"/>
        <v>81</v>
      </c>
      <c r="O138" s="220">
        <f t="shared" si="5"/>
        <v>2025</v>
      </c>
    </row>
    <row r="139" spans="3:15" ht="12.75">
      <c r="C139" s="184" t="s">
        <v>1622</v>
      </c>
      <c r="D139" s="184">
        <v>1</v>
      </c>
      <c r="E139" s="240">
        <f>K102</f>
        <v>435</v>
      </c>
      <c r="F139" s="240">
        <f t="shared" si="7"/>
        <v>435</v>
      </c>
      <c r="G139" s="474">
        <f t="shared" si="6"/>
        <v>0.2</v>
      </c>
      <c r="H139" s="442">
        <f t="shared" si="11"/>
        <v>59</v>
      </c>
      <c r="I139" s="240">
        <f t="shared" si="8"/>
        <v>25665</v>
      </c>
      <c r="J139" s="106">
        <f t="shared" si="12"/>
        <v>10</v>
      </c>
      <c r="K139" s="240">
        <f t="shared" si="13"/>
        <v>4350</v>
      </c>
      <c r="L139" s="106">
        <f t="shared" si="4"/>
        <v>12</v>
      </c>
      <c r="M139" s="240">
        <f t="shared" si="9"/>
        <v>5220</v>
      </c>
      <c r="N139" s="442">
        <f t="shared" si="10"/>
        <v>81</v>
      </c>
      <c r="O139" s="220">
        <f t="shared" si="5"/>
        <v>35235</v>
      </c>
    </row>
    <row r="140" spans="3:15" ht="12.75">
      <c r="C140" s="184" t="s">
        <v>1623</v>
      </c>
      <c r="D140" s="184">
        <v>1</v>
      </c>
      <c r="E140" s="240">
        <v>300</v>
      </c>
      <c r="F140" s="240">
        <f t="shared" si="7"/>
        <v>300</v>
      </c>
      <c r="G140" s="474">
        <f t="shared" si="6"/>
        <v>0.2</v>
      </c>
      <c r="H140" s="442">
        <f t="shared" si="11"/>
        <v>59</v>
      </c>
      <c r="I140" s="240">
        <f t="shared" si="8"/>
        <v>17700</v>
      </c>
      <c r="J140" s="106">
        <f t="shared" si="12"/>
        <v>10</v>
      </c>
      <c r="K140" s="240">
        <f t="shared" si="13"/>
        <v>3000</v>
      </c>
      <c r="L140" s="106">
        <f t="shared" si="4"/>
        <v>12</v>
      </c>
      <c r="M140" s="240">
        <f t="shared" si="9"/>
        <v>3600</v>
      </c>
      <c r="N140" s="442">
        <f t="shared" si="10"/>
        <v>81</v>
      </c>
      <c r="O140" s="220">
        <f t="shared" si="5"/>
        <v>24300</v>
      </c>
    </row>
    <row r="141" spans="3:15" ht="12.75">
      <c r="C141" s="184" t="s">
        <v>1624</v>
      </c>
      <c r="D141" s="184">
        <v>1</v>
      </c>
      <c r="E141" s="240">
        <v>350</v>
      </c>
      <c r="F141" s="240">
        <f t="shared" si="7"/>
        <v>350</v>
      </c>
      <c r="G141" s="474">
        <f t="shared" si="6"/>
        <v>0.2</v>
      </c>
      <c r="H141" s="442">
        <f t="shared" si="11"/>
        <v>59</v>
      </c>
      <c r="I141" s="240">
        <f t="shared" si="8"/>
        <v>20650</v>
      </c>
      <c r="J141" s="106">
        <f t="shared" si="12"/>
        <v>10</v>
      </c>
      <c r="K141" s="240">
        <f t="shared" si="13"/>
        <v>3500</v>
      </c>
      <c r="L141" s="106">
        <f t="shared" si="4"/>
        <v>12</v>
      </c>
      <c r="M141" s="240">
        <f t="shared" si="9"/>
        <v>4200</v>
      </c>
      <c r="N141" s="442">
        <f t="shared" si="10"/>
        <v>81</v>
      </c>
      <c r="O141" s="220">
        <f t="shared" si="5"/>
        <v>28350</v>
      </c>
    </row>
    <row r="142" spans="3:15" ht="12.75">
      <c r="C142" s="221" t="s">
        <v>1626</v>
      </c>
      <c r="D142" s="221"/>
      <c r="E142" s="241"/>
      <c r="F142" s="241">
        <f>SUM(F130:F141)</f>
        <v>4098</v>
      </c>
      <c r="G142" s="298"/>
      <c r="H142" s="298"/>
      <c r="I142" s="241">
        <f>SUM(I130:I141)</f>
        <v>241782</v>
      </c>
      <c r="J142" s="340"/>
      <c r="K142" s="340">
        <f>SUM(K130:K141)</f>
        <v>40980</v>
      </c>
      <c r="L142" s="298"/>
      <c r="M142" s="241">
        <f>SUM(M130:M141)</f>
        <v>55176</v>
      </c>
      <c r="N142" s="298"/>
      <c r="O142" s="222">
        <f>SUM(O130:O141)</f>
        <v>337938</v>
      </c>
    </row>
    <row r="143" spans="3:15" ht="12.75">
      <c r="C143" s="245" t="s">
        <v>1054</v>
      </c>
      <c r="D143" s="473">
        <f>F123</f>
        <v>58</v>
      </c>
      <c r="E143" s="444">
        <f>E128</f>
        <v>0.2</v>
      </c>
      <c r="F143" s="441">
        <f>INT(D143*E143+0.9)</f>
        <v>12</v>
      </c>
      <c r="G143" s="331"/>
      <c r="H143" s="506" t="s">
        <v>222</v>
      </c>
      <c r="I143" s="506"/>
      <c r="J143" s="445" t="s">
        <v>568</v>
      </c>
      <c r="K143" s="445">
        <v>0</v>
      </c>
      <c r="L143" s="506" t="s">
        <v>1035</v>
      </c>
      <c r="M143" s="506"/>
      <c r="N143" s="506" t="s">
        <v>237</v>
      </c>
      <c r="O143" s="507"/>
    </row>
    <row r="144" spans="3:15" ht="12.75">
      <c r="C144" s="184" t="s">
        <v>1038</v>
      </c>
      <c r="D144" s="184" t="s">
        <v>211</v>
      </c>
      <c r="E144" s="106" t="s">
        <v>1039</v>
      </c>
      <c r="F144" s="106" t="s">
        <v>168</v>
      </c>
      <c r="G144" s="139" t="s">
        <v>1035</v>
      </c>
      <c r="H144" s="200" t="s">
        <v>250</v>
      </c>
      <c r="I144" s="200" t="s">
        <v>168</v>
      </c>
      <c r="J144" s="200" t="s">
        <v>250</v>
      </c>
      <c r="K144" s="200" t="s">
        <v>168</v>
      </c>
      <c r="L144" s="200" t="s">
        <v>250</v>
      </c>
      <c r="M144" s="200" t="s">
        <v>168</v>
      </c>
      <c r="N144" s="200" t="s">
        <v>250</v>
      </c>
      <c r="O144" s="443" t="s">
        <v>168</v>
      </c>
    </row>
    <row r="145" spans="3:15" ht="12.75">
      <c r="C145" s="113" t="s">
        <v>183</v>
      </c>
      <c r="D145" s="184">
        <v>2</v>
      </c>
      <c r="E145" s="240">
        <f>E130</f>
        <v>743</v>
      </c>
      <c r="F145" s="240">
        <f>D145*E145</f>
        <v>1486</v>
      </c>
      <c r="G145" s="474">
        <f>$E$143</f>
        <v>0.2</v>
      </c>
      <c r="H145" s="442">
        <f>D145*$D$143</f>
        <v>116</v>
      </c>
      <c r="I145" s="240">
        <f>H145*E145</f>
        <v>86188</v>
      </c>
      <c r="J145" s="106">
        <f>D145*$K$143</f>
        <v>0</v>
      </c>
      <c r="K145" s="240">
        <f>J145*E145</f>
        <v>0</v>
      </c>
      <c r="L145" s="106">
        <f>D145*(G145/$E$143)*$F$143</f>
        <v>24</v>
      </c>
      <c r="M145" s="240">
        <f>L145*E145</f>
        <v>17832</v>
      </c>
      <c r="N145" s="442">
        <f>H145+L145+J145</f>
        <v>140</v>
      </c>
      <c r="O145" s="220">
        <f aca="true" t="shared" si="14" ref="O145:O156">N145*E145</f>
        <v>104020</v>
      </c>
    </row>
    <row r="146" spans="3:15" ht="12.75">
      <c r="C146" s="113" t="s">
        <v>184</v>
      </c>
      <c r="D146" s="184">
        <v>0</v>
      </c>
      <c r="E146" s="240">
        <f aca="true" t="shared" si="15" ref="E146:E156">E131</f>
        <v>472</v>
      </c>
      <c r="F146" s="240">
        <f>D146*E146</f>
        <v>0</v>
      </c>
      <c r="G146" s="474">
        <f aca="true" t="shared" si="16" ref="G146:G156">$E$143</f>
        <v>0.2</v>
      </c>
      <c r="H146" s="442">
        <f>D146*$D$143</f>
        <v>0</v>
      </c>
      <c r="I146" s="240">
        <f>H146*E146</f>
        <v>0</v>
      </c>
      <c r="J146" s="106">
        <f>D146*$K$143</f>
        <v>0</v>
      </c>
      <c r="K146" s="240">
        <f>J146*E146</f>
        <v>0</v>
      </c>
      <c r="L146" s="106">
        <f aca="true" t="shared" si="17" ref="L146:L156">D146*(G146/$E$143)*$F$143</f>
        <v>0</v>
      </c>
      <c r="M146" s="240">
        <f>L146*E146</f>
        <v>0</v>
      </c>
      <c r="N146" s="442">
        <f>H146+L146+J146</f>
        <v>0</v>
      </c>
      <c r="O146" s="220">
        <f t="shared" si="14"/>
        <v>0</v>
      </c>
    </row>
    <row r="147" spans="3:15" ht="12.75">
      <c r="C147" s="184" t="s">
        <v>1616</v>
      </c>
      <c r="D147" s="184">
        <v>8</v>
      </c>
      <c r="E147" s="240">
        <f t="shared" si="15"/>
        <v>99</v>
      </c>
      <c r="F147" s="240">
        <f aca="true" t="shared" si="18" ref="F147:F156">D147*E147</f>
        <v>792</v>
      </c>
      <c r="G147" s="474">
        <v>0.3</v>
      </c>
      <c r="H147" s="442">
        <f aca="true" t="shared" si="19" ref="H147:H156">D147*$D$143</f>
        <v>464</v>
      </c>
      <c r="I147" s="240">
        <f aca="true" t="shared" si="20" ref="I147:I156">H147*E147</f>
        <v>45936</v>
      </c>
      <c r="J147" s="106">
        <f aca="true" t="shared" si="21" ref="J147:J156">D147*$K$143</f>
        <v>0</v>
      </c>
      <c r="K147" s="240">
        <f aca="true" t="shared" si="22" ref="K147:K156">J147*E147</f>
        <v>0</v>
      </c>
      <c r="L147" s="106">
        <f t="shared" si="17"/>
        <v>143.99999999999997</v>
      </c>
      <c r="M147" s="240">
        <f aca="true" t="shared" si="23" ref="M147:M156">L147*E147</f>
        <v>14255.999999999996</v>
      </c>
      <c r="N147" s="442">
        <f aca="true" t="shared" si="24" ref="N147:N156">H147+L147+J147</f>
        <v>608</v>
      </c>
      <c r="O147" s="220">
        <f t="shared" si="14"/>
        <v>60192</v>
      </c>
    </row>
    <row r="148" spans="3:15" ht="12.75">
      <c r="C148" s="184" t="s">
        <v>1617</v>
      </c>
      <c r="D148" s="184">
        <v>2</v>
      </c>
      <c r="E148" s="240">
        <f t="shared" si="15"/>
        <v>165</v>
      </c>
      <c r="F148" s="240">
        <f t="shared" si="18"/>
        <v>330</v>
      </c>
      <c r="G148" s="474">
        <f t="shared" si="16"/>
        <v>0.2</v>
      </c>
      <c r="H148" s="442">
        <f t="shared" si="19"/>
        <v>116</v>
      </c>
      <c r="I148" s="240">
        <f t="shared" si="20"/>
        <v>19140</v>
      </c>
      <c r="J148" s="106">
        <f t="shared" si="21"/>
        <v>0</v>
      </c>
      <c r="K148" s="240">
        <f t="shared" si="22"/>
        <v>0</v>
      </c>
      <c r="L148" s="106">
        <f t="shared" si="17"/>
        <v>24</v>
      </c>
      <c r="M148" s="240">
        <f t="shared" si="23"/>
        <v>3960</v>
      </c>
      <c r="N148" s="442">
        <f t="shared" si="24"/>
        <v>140</v>
      </c>
      <c r="O148" s="220">
        <f t="shared" si="14"/>
        <v>23100</v>
      </c>
    </row>
    <row r="149" spans="3:15" ht="12.75">
      <c r="C149" s="184" t="s">
        <v>1618</v>
      </c>
      <c r="D149" s="184">
        <v>16</v>
      </c>
      <c r="E149" s="240">
        <f t="shared" si="15"/>
        <v>13</v>
      </c>
      <c r="F149" s="240">
        <f t="shared" si="18"/>
        <v>208</v>
      </c>
      <c r="G149" s="474">
        <v>0.3</v>
      </c>
      <c r="H149" s="442">
        <f t="shared" si="19"/>
        <v>928</v>
      </c>
      <c r="I149" s="240">
        <f t="shared" si="20"/>
        <v>12064</v>
      </c>
      <c r="J149" s="106">
        <f t="shared" si="21"/>
        <v>0</v>
      </c>
      <c r="K149" s="240">
        <f t="shared" si="22"/>
        <v>0</v>
      </c>
      <c r="L149" s="106">
        <f t="shared" si="17"/>
        <v>287.99999999999994</v>
      </c>
      <c r="M149" s="240">
        <f t="shared" si="23"/>
        <v>3743.999999999999</v>
      </c>
      <c r="N149" s="442">
        <f t="shared" si="24"/>
        <v>1216</v>
      </c>
      <c r="O149" s="220">
        <f t="shared" si="14"/>
        <v>15808</v>
      </c>
    </row>
    <row r="150" spans="3:15" ht="12.75">
      <c r="C150" s="184" t="s">
        <v>1619</v>
      </c>
      <c r="D150" s="184">
        <v>1</v>
      </c>
      <c r="E150" s="240">
        <f t="shared" si="15"/>
        <v>50</v>
      </c>
      <c r="F150" s="240">
        <f t="shared" si="18"/>
        <v>50</v>
      </c>
      <c r="G150" s="474">
        <f t="shared" si="16"/>
        <v>0.2</v>
      </c>
      <c r="H150" s="442">
        <f t="shared" si="19"/>
        <v>58</v>
      </c>
      <c r="I150" s="240">
        <f t="shared" si="20"/>
        <v>2900</v>
      </c>
      <c r="J150" s="106">
        <f t="shared" si="21"/>
        <v>0</v>
      </c>
      <c r="K150" s="240">
        <f t="shared" si="22"/>
        <v>0</v>
      </c>
      <c r="L150" s="106">
        <f t="shared" si="17"/>
        <v>12</v>
      </c>
      <c r="M150" s="240">
        <f t="shared" si="23"/>
        <v>600</v>
      </c>
      <c r="N150" s="442">
        <f t="shared" si="24"/>
        <v>70</v>
      </c>
      <c r="O150" s="220">
        <f t="shared" si="14"/>
        <v>3500</v>
      </c>
    </row>
    <row r="151" spans="3:15" ht="12.75">
      <c r="C151" s="184" t="s">
        <v>1620</v>
      </c>
      <c r="D151" s="184">
        <v>1</v>
      </c>
      <c r="E151" s="240">
        <f t="shared" si="15"/>
        <v>22</v>
      </c>
      <c r="F151" s="240">
        <f t="shared" si="18"/>
        <v>22</v>
      </c>
      <c r="G151" s="474">
        <f t="shared" si="16"/>
        <v>0.2</v>
      </c>
      <c r="H151" s="442">
        <f t="shared" si="19"/>
        <v>58</v>
      </c>
      <c r="I151" s="240">
        <f t="shared" si="20"/>
        <v>1276</v>
      </c>
      <c r="J151" s="106">
        <f t="shared" si="21"/>
        <v>0</v>
      </c>
      <c r="K151" s="240">
        <f t="shared" si="22"/>
        <v>0</v>
      </c>
      <c r="L151" s="106">
        <f t="shared" si="17"/>
        <v>12</v>
      </c>
      <c r="M151" s="240">
        <f t="shared" si="23"/>
        <v>264</v>
      </c>
      <c r="N151" s="442">
        <f t="shared" si="24"/>
        <v>70</v>
      </c>
      <c r="O151" s="220">
        <f t="shared" si="14"/>
        <v>1540</v>
      </c>
    </row>
    <row r="152" spans="3:15" ht="12.75">
      <c r="C152" s="184" t="s">
        <v>1621</v>
      </c>
      <c r="D152" s="184">
        <v>1</v>
      </c>
      <c r="E152" s="240">
        <f t="shared" si="15"/>
        <v>100</v>
      </c>
      <c r="F152" s="240">
        <f t="shared" si="18"/>
        <v>100</v>
      </c>
      <c r="G152" s="474">
        <f t="shared" si="16"/>
        <v>0.2</v>
      </c>
      <c r="H152" s="442">
        <f t="shared" si="19"/>
        <v>58</v>
      </c>
      <c r="I152" s="240">
        <f t="shared" si="20"/>
        <v>5800</v>
      </c>
      <c r="J152" s="106">
        <f t="shared" si="21"/>
        <v>0</v>
      </c>
      <c r="K152" s="240">
        <f t="shared" si="22"/>
        <v>0</v>
      </c>
      <c r="L152" s="106">
        <f t="shared" si="17"/>
        <v>12</v>
      </c>
      <c r="M152" s="240">
        <f t="shared" si="23"/>
        <v>1200</v>
      </c>
      <c r="N152" s="442">
        <f t="shared" si="24"/>
        <v>70</v>
      </c>
      <c r="O152" s="220">
        <f t="shared" si="14"/>
        <v>7000</v>
      </c>
    </row>
    <row r="153" spans="3:15" ht="12.75">
      <c r="C153" s="184" t="s">
        <v>1625</v>
      </c>
      <c r="D153" s="184">
        <v>1</v>
      </c>
      <c r="E153" s="240">
        <f t="shared" si="15"/>
        <v>25</v>
      </c>
      <c r="F153" s="240">
        <f t="shared" si="18"/>
        <v>25</v>
      </c>
      <c r="G153" s="474">
        <f t="shared" si="16"/>
        <v>0.2</v>
      </c>
      <c r="H153" s="442">
        <f t="shared" si="19"/>
        <v>58</v>
      </c>
      <c r="I153" s="240">
        <f t="shared" si="20"/>
        <v>1450</v>
      </c>
      <c r="J153" s="106">
        <f t="shared" si="21"/>
        <v>0</v>
      </c>
      <c r="K153" s="240">
        <f t="shared" si="22"/>
        <v>0</v>
      </c>
      <c r="L153" s="106">
        <f t="shared" si="17"/>
        <v>12</v>
      </c>
      <c r="M153" s="240">
        <f t="shared" si="23"/>
        <v>300</v>
      </c>
      <c r="N153" s="442">
        <f t="shared" si="24"/>
        <v>70</v>
      </c>
      <c r="O153" s="220">
        <f t="shared" si="14"/>
        <v>1750</v>
      </c>
    </row>
    <row r="154" spans="3:15" ht="12.75">
      <c r="C154" s="184" t="s">
        <v>1622</v>
      </c>
      <c r="D154" s="184">
        <v>1</v>
      </c>
      <c r="E154" s="240">
        <f t="shared" si="15"/>
        <v>435</v>
      </c>
      <c r="F154" s="240">
        <f t="shared" si="18"/>
        <v>435</v>
      </c>
      <c r="G154" s="474">
        <f t="shared" si="16"/>
        <v>0.2</v>
      </c>
      <c r="H154" s="442">
        <f t="shared" si="19"/>
        <v>58</v>
      </c>
      <c r="I154" s="240">
        <f t="shared" si="20"/>
        <v>25230</v>
      </c>
      <c r="J154" s="106">
        <f t="shared" si="21"/>
        <v>0</v>
      </c>
      <c r="K154" s="240">
        <f t="shared" si="22"/>
        <v>0</v>
      </c>
      <c r="L154" s="106">
        <f t="shared" si="17"/>
        <v>12</v>
      </c>
      <c r="M154" s="240">
        <f t="shared" si="23"/>
        <v>5220</v>
      </c>
      <c r="N154" s="442">
        <f t="shared" si="24"/>
        <v>70</v>
      </c>
      <c r="O154" s="220">
        <f t="shared" si="14"/>
        <v>30450</v>
      </c>
    </row>
    <row r="155" spans="3:15" ht="12.75">
      <c r="C155" s="184" t="s">
        <v>1623</v>
      </c>
      <c r="D155" s="184">
        <v>1</v>
      </c>
      <c r="E155" s="240">
        <f t="shared" si="15"/>
        <v>300</v>
      </c>
      <c r="F155" s="240">
        <f t="shared" si="18"/>
        <v>300</v>
      </c>
      <c r="G155" s="474">
        <f t="shared" si="16"/>
        <v>0.2</v>
      </c>
      <c r="H155" s="442">
        <f t="shared" si="19"/>
        <v>58</v>
      </c>
      <c r="I155" s="240">
        <f t="shared" si="20"/>
        <v>17400</v>
      </c>
      <c r="J155" s="106">
        <f t="shared" si="21"/>
        <v>0</v>
      </c>
      <c r="K155" s="240">
        <f t="shared" si="22"/>
        <v>0</v>
      </c>
      <c r="L155" s="106">
        <f t="shared" si="17"/>
        <v>12</v>
      </c>
      <c r="M155" s="240">
        <f t="shared" si="23"/>
        <v>3600</v>
      </c>
      <c r="N155" s="442">
        <f t="shared" si="24"/>
        <v>70</v>
      </c>
      <c r="O155" s="220">
        <f t="shared" si="14"/>
        <v>21000</v>
      </c>
    </row>
    <row r="156" spans="3:15" ht="12.75">
      <c r="C156" s="184" t="s">
        <v>1624</v>
      </c>
      <c r="D156" s="184">
        <v>1</v>
      </c>
      <c r="E156" s="240">
        <f t="shared" si="15"/>
        <v>350</v>
      </c>
      <c r="F156" s="240">
        <f t="shared" si="18"/>
        <v>350</v>
      </c>
      <c r="G156" s="474">
        <f t="shared" si="16"/>
        <v>0.2</v>
      </c>
      <c r="H156" s="442">
        <f t="shared" si="19"/>
        <v>58</v>
      </c>
      <c r="I156" s="240">
        <f t="shared" si="20"/>
        <v>20300</v>
      </c>
      <c r="J156" s="106">
        <f t="shared" si="21"/>
        <v>0</v>
      </c>
      <c r="K156" s="240">
        <f t="shared" si="22"/>
        <v>0</v>
      </c>
      <c r="L156" s="106">
        <f t="shared" si="17"/>
        <v>12</v>
      </c>
      <c r="M156" s="240">
        <f t="shared" si="23"/>
        <v>4200</v>
      </c>
      <c r="N156" s="442">
        <f t="shared" si="24"/>
        <v>70</v>
      </c>
      <c r="O156" s="220">
        <f t="shared" si="14"/>
        <v>24500</v>
      </c>
    </row>
    <row r="157" spans="3:15" ht="12.75">
      <c r="C157" s="221" t="s">
        <v>1626</v>
      </c>
      <c r="D157" s="221"/>
      <c r="E157" s="241"/>
      <c r="F157" s="222">
        <f>SUM(F145:F156)</f>
        <v>4098</v>
      </c>
      <c r="G157" s="298"/>
      <c r="H157" s="298"/>
      <c r="I157" s="222">
        <f>SUM(I145:I156)</f>
        <v>237684</v>
      </c>
      <c r="J157" s="340"/>
      <c r="K157" s="222">
        <f>SUM(K145:K156)</f>
        <v>0</v>
      </c>
      <c r="L157" s="298"/>
      <c r="M157" s="222">
        <f>SUM(M145:M156)</f>
        <v>55176</v>
      </c>
      <c r="N157" s="298"/>
      <c r="O157" s="222">
        <f>SUM(O145:O156)</f>
        <v>292860</v>
      </c>
    </row>
    <row r="158" spans="3:15" ht="12.75">
      <c r="C158" s="245" t="s">
        <v>1056</v>
      </c>
      <c r="D158" s="473">
        <f>F125</f>
        <v>39</v>
      </c>
      <c r="E158" s="444">
        <f>E128</f>
        <v>0.2</v>
      </c>
      <c r="F158" s="441">
        <f>INT(D158*E158+0.9)</f>
        <v>8</v>
      </c>
      <c r="G158" s="331"/>
      <c r="H158" s="506" t="s">
        <v>222</v>
      </c>
      <c r="I158" s="506"/>
      <c r="J158" s="445" t="s">
        <v>568</v>
      </c>
      <c r="K158" s="445">
        <v>0</v>
      </c>
      <c r="L158" s="506" t="s">
        <v>1035</v>
      </c>
      <c r="M158" s="506"/>
      <c r="N158" s="506" t="s">
        <v>237</v>
      </c>
      <c r="O158" s="507"/>
    </row>
    <row r="159" spans="3:15" ht="12.75">
      <c r="C159" s="184" t="s">
        <v>1038</v>
      </c>
      <c r="D159" s="184" t="s">
        <v>211</v>
      </c>
      <c r="E159" s="106" t="s">
        <v>1039</v>
      </c>
      <c r="F159" s="106" t="s">
        <v>168</v>
      </c>
      <c r="G159" s="139" t="s">
        <v>1035</v>
      </c>
      <c r="H159" s="200" t="s">
        <v>250</v>
      </c>
      <c r="I159" s="200" t="s">
        <v>168</v>
      </c>
      <c r="J159" s="200" t="s">
        <v>250</v>
      </c>
      <c r="K159" s="200" t="s">
        <v>168</v>
      </c>
      <c r="L159" s="200" t="s">
        <v>250</v>
      </c>
      <c r="M159" s="200" t="s">
        <v>168</v>
      </c>
      <c r="N159" s="200" t="s">
        <v>250</v>
      </c>
      <c r="O159" s="443" t="s">
        <v>168</v>
      </c>
    </row>
    <row r="160" spans="3:15" ht="12.75">
      <c r="C160" s="113" t="s">
        <v>183</v>
      </c>
      <c r="D160" s="184">
        <v>2</v>
      </c>
      <c r="E160" s="240">
        <f>E145</f>
        <v>743</v>
      </c>
      <c r="F160" s="240">
        <f>D160*E160</f>
        <v>1486</v>
      </c>
      <c r="G160" s="474">
        <f>$E$158</f>
        <v>0.2</v>
      </c>
      <c r="H160" s="442">
        <f>D160*$D$158</f>
        <v>78</v>
      </c>
      <c r="I160" s="240">
        <f>H160*E160</f>
        <v>57954</v>
      </c>
      <c r="J160" s="106">
        <f>D160*$K$158</f>
        <v>0</v>
      </c>
      <c r="K160" s="240">
        <f>J160*E160</f>
        <v>0</v>
      </c>
      <c r="L160" s="106">
        <f>D160*(G160/$E$158)*$F$158</f>
        <v>16</v>
      </c>
      <c r="M160" s="240">
        <f>L160*E160</f>
        <v>11888</v>
      </c>
      <c r="N160" s="442">
        <f>H160+L160+J160</f>
        <v>94</v>
      </c>
      <c r="O160" s="220">
        <f aca="true" t="shared" si="25" ref="O160:O171">N160*E160</f>
        <v>69842</v>
      </c>
    </row>
    <row r="161" spans="3:15" ht="12.75">
      <c r="C161" s="113" t="s">
        <v>184</v>
      </c>
      <c r="D161" s="184">
        <v>0</v>
      </c>
      <c r="E161" s="240">
        <f aca="true" t="shared" si="26" ref="E161:E171">E146</f>
        <v>472</v>
      </c>
      <c r="F161" s="240">
        <f>D161*E161</f>
        <v>0</v>
      </c>
      <c r="G161" s="474">
        <f aca="true" t="shared" si="27" ref="G161:G171">$E$158</f>
        <v>0.2</v>
      </c>
      <c r="H161" s="442">
        <f>D161*$D$158</f>
        <v>0</v>
      </c>
      <c r="I161" s="240">
        <f>H161*E161</f>
        <v>0</v>
      </c>
      <c r="J161" s="106">
        <f>D161*$K$158</f>
        <v>0</v>
      </c>
      <c r="K161" s="240">
        <f>J161*E161</f>
        <v>0</v>
      </c>
      <c r="L161" s="106">
        <f aca="true" t="shared" si="28" ref="L161:L171">D161*(G161/$E$158)*$F$158</f>
        <v>0</v>
      </c>
      <c r="M161" s="240">
        <f>L161*E161</f>
        <v>0</v>
      </c>
      <c r="N161" s="442">
        <f>H161+L161+J161</f>
        <v>0</v>
      </c>
      <c r="O161" s="220">
        <f t="shared" si="25"/>
        <v>0</v>
      </c>
    </row>
    <row r="162" spans="3:15" ht="12.75">
      <c r="C162" s="184" t="s">
        <v>1616</v>
      </c>
      <c r="D162" s="184">
        <v>8</v>
      </c>
      <c r="E162" s="240">
        <f t="shared" si="26"/>
        <v>99</v>
      </c>
      <c r="F162" s="240">
        <f aca="true" t="shared" si="29" ref="F162:F171">D162*E162</f>
        <v>792</v>
      </c>
      <c r="G162" s="474">
        <v>0.3</v>
      </c>
      <c r="H162" s="442">
        <f aca="true" t="shared" si="30" ref="H162:H171">D162*$D$158</f>
        <v>312</v>
      </c>
      <c r="I162" s="240">
        <f aca="true" t="shared" si="31" ref="I162:I171">H162*E162</f>
        <v>30888</v>
      </c>
      <c r="J162" s="106">
        <f aca="true" t="shared" si="32" ref="J162:J171">D162*$K$158</f>
        <v>0</v>
      </c>
      <c r="K162" s="240">
        <f aca="true" t="shared" si="33" ref="K162:K171">J162*E162</f>
        <v>0</v>
      </c>
      <c r="L162" s="106">
        <f t="shared" si="28"/>
        <v>95.99999999999999</v>
      </c>
      <c r="M162" s="240">
        <f aca="true" t="shared" si="34" ref="M162:M171">L162*E162</f>
        <v>9503.999999999998</v>
      </c>
      <c r="N162" s="442">
        <f aca="true" t="shared" si="35" ref="N162:N171">H162+L162+J162</f>
        <v>408</v>
      </c>
      <c r="O162" s="220">
        <f t="shared" si="25"/>
        <v>40392</v>
      </c>
    </row>
    <row r="163" spans="3:15" ht="12.75">
      <c r="C163" s="184" t="s">
        <v>1617</v>
      </c>
      <c r="D163" s="184">
        <v>2</v>
      </c>
      <c r="E163" s="240">
        <f t="shared" si="26"/>
        <v>165</v>
      </c>
      <c r="F163" s="240">
        <f t="shared" si="29"/>
        <v>330</v>
      </c>
      <c r="G163" s="474">
        <f t="shared" si="27"/>
        <v>0.2</v>
      </c>
      <c r="H163" s="442">
        <f t="shared" si="30"/>
        <v>78</v>
      </c>
      <c r="I163" s="240">
        <f t="shared" si="31"/>
        <v>12870</v>
      </c>
      <c r="J163" s="106">
        <f t="shared" si="32"/>
        <v>0</v>
      </c>
      <c r="K163" s="240">
        <f t="shared" si="33"/>
        <v>0</v>
      </c>
      <c r="L163" s="106">
        <f t="shared" si="28"/>
        <v>16</v>
      </c>
      <c r="M163" s="240">
        <f t="shared" si="34"/>
        <v>2640</v>
      </c>
      <c r="N163" s="442">
        <f t="shared" si="35"/>
        <v>94</v>
      </c>
      <c r="O163" s="220">
        <f t="shared" si="25"/>
        <v>15510</v>
      </c>
    </row>
    <row r="164" spans="3:15" ht="12.75">
      <c r="C164" s="184" t="s">
        <v>1618</v>
      </c>
      <c r="D164" s="184">
        <v>16</v>
      </c>
      <c r="E164" s="240">
        <f t="shared" si="26"/>
        <v>13</v>
      </c>
      <c r="F164" s="240">
        <f t="shared" si="29"/>
        <v>208</v>
      </c>
      <c r="G164" s="474">
        <v>0.3</v>
      </c>
      <c r="H164" s="442">
        <f t="shared" si="30"/>
        <v>624</v>
      </c>
      <c r="I164" s="240">
        <f t="shared" si="31"/>
        <v>8112</v>
      </c>
      <c r="J164" s="106">
        <f t="shared" si="32"/>
        <v>0</v>
      </c>
      <c r="K164" s="240">
        <f t="shared" si="33"/>
        <v>0</v>
      </c>
      <c r="L164" s="106">
        <f t="shared" si="28"/>
        <v>191.99999999999997</v>
      </c>
      <c r="M164" s="240">
        <f t="shared" si="34"/>
        <v>2495.9999999999995</v>
      </c>
      <c r="N164" s="442">
        <f t="shared" si="35"/>
        <v>816</v>
      </c>
      <c r="O164" s="220">
        <f t="shared" si="25"/>
        <v>10608</v>
      </c>
    </row>
    <row r="165" spans="3:15" ht="12.75">
      <c r="C165" s="184" t="s">
        <v>1619</v>
      </c>
      <c r="D165" s="184">
        <v>1</v>
      </c>
      <c r="E165" s="240">
        <f t="shared" si="26"/>
        <v>50</v>
      </c>
      <c r="F165" s="240">
        <f t="shared" si="29"/>
        <v>50</v>
      </c>
      <c r="G165" s="474">
        <f t="shared" si="27"/>
        <v>0.2</v>
      </c>
      <c r="H165" s="442">
        <f t="shared" si="30"/>
        <v>39</v>
      </c>
      <c r="I165" s="240">
        <f t="shared" si="31"/>
        <v>1950</v>
      </c>
      <c r="J165" s="106">
        <f t="shared" si="32"/>
        <v>0</v>
      </c>
      <c r="K165" s="240">
        <f t="shared" si="33"/>
        <v>0</v>
      </c>
      <c r="L165" s="106">
        <f t="shared" si="28"/>
        <v>8</v>
      </c>
      <c r="M165" s="240">
        <f t="shared" si="34"/>
        <v>400</v>
      </c>
      <c r="N165" s="442">
        <f t="shared" si="35"/>
        <v>47</v>
      </c>
      <c r="O165" s="220">
        <f t="shared" si="25"/>
        <v>2350</v>
      </c>
    </row>
    <row r="166" spans="3:15" ht="12.75">
      <c r="C166" s="184" t="s">
        <v>1620</v>
      </c>
      <c r="D166" s="184">
        <v>1</v>
      </c>
      <c r="E166" s="240">
        <f t="shared" si="26"/>
        <v>22</v>
      </c>
      <c r="F166" s="240">
        <f t="shared" si="29"/>
        <v>22</v>
      </c>
      <c r="G166" s="474">
        <f t="shared" si="27"/>
        <v>0.2</v>
      </c>
      <c r="H166" s="442">
        <f t="shared" si="30"/>
        <v>39</v>
      </c>
      <c r="I166" s="240">
        <f t="shared" si="31"/>
        <v>858</v>
      </c>
      <c r="J166" s="106">
        <f t="shared" si="32"/>
        <v>0</v>
      </c>
      <c r="K166" s="240">
        <f t="shared" si="33"/>
        <v>0</v>
      </c>
      <c r="L166" s="106">
        <f t="shared" si="28"/>
        <v>8</v>
      </c>
      <c r="M166" s="240">
        <f t="shared" si="34"/>
        <v>176</v>
      </c>
      <c r="N166" s="442">
        <f t="shared" si="35"/>
        <v>47</v>
      </c>
      <c r="O166" s="220">
        <f t="shared" si="25"/>
        <v>1034</v>
      </c>
    </row>
    <row r="167" spans="3:15" ht="12.75">
      <c r="C167" s="184" t="s">
        <v>1621</v>
      </c>
      <c r="D167" s="184">
        <v>1</v>
      </c>
      <c r="E167" s="240">
        <f t="shared" si="26"/>
        <v>100</v>
      </c>
      <c r="F167" s="240">
        <f t="shared" si="29"/>
        <v>100</v>
      </c>
      <c r="G167" s="474">
        <f t="shared" si="27"/>
        <v>0.2</v>
      </c>
      <c r="H167" s="442">
        <f t="shared" si="30"/>
        <v>39</v>
      </c>
      <c r="I167" s="240">
        <f t="shared" si="31"/>
        <v>3900</v>
      </c>
      <c r="J167" s="106">
        <f t="shared" si="32"/>
        <v>0</v>
      </c>
      <c r="K167" s="240">
        <f t="shared" si="33"/>
        <v>0</v>
      </c>
      <c r="L167" s="106">
        <f t="shared" si="28"/>
        <v>8</v>
      </c>
      <c r="M167" s="240">
        <f t="shared" si="34"/>
        <v>800</v>
      </c>
      <c r="N167" s="442">
        <f t="shared" si="35"/>
        <v>47</v>
      </c>
      <c r="O167" s="220">
        <f t="shared" si="25"/>
        <v>4700</v>
      </c>
    </row>
    <row r="168" spans="3:15" ht="12.75">
      <c r="C168" s="184" t="s">
        <v>1625</v>
      </c>
      <c r="D168" s="184">
        <v>1</v>
      </c>
      <c r="E168" s="240">
        <f t="shared" si="26"/>
        <v>25</v>
      </c>
      <c r="F168" s="240">
        <f t="shared" si="29"/>
        <v>25</v>
      </c>
      <c r="G168" s="474">
        <f t="shared" si="27"/>
        <v>0.2</v>
      </c>
      <c r="H168" s="442">
        <f t="shared" si="30"/>
        <v>39</v>
      </c>
      <c r="I168" s="240">
        <f t="shared" si="31"/>
        <v>975</v>
      </c>
      <c r="J168" s="106">
        <f t="shared" si="32"/>
        <v>0</v>
      </c>
      <c r="K168" s="240">
        <f t="shared" si="33"/>
        <v>0</v>
      </c>
      <c r="L168" s="106">
        <f t="shared" si="28"/>
        <v>8</v>
      </c>
      <c r="M168" s="240">
        <f t="shared" si="34"/>
        <v>200</v>
      </c>
      <c r="N168" s="442">
        <f t="shared" si="35"/>
        <v>47</v>
      </c>
      <c r="O168" s="220">
        <f t="shared" si="25"/>
        <v>1175</v>
      </c>
    </row>
    <row r="169" spans="3:15" ht="12.75">
      <c r="C169" s="184" t="s">
        <v>1622</v>
      </c>
      <c r="D169" s="184">
        <v>1</v>
      </c>
      <c r="E169" s="240">
        <f t="shared" si="26"/>
        <v>435</v>
      </c>
      <c r="F169" s="240">
        <f t="shared" si="29"/>
        <v>435</v>
      </c>
      <c r="G169" s="474">
        <f t="shared" si="27"/>
        <v>0.2</v>
      </c>
      <c r="H169" s="442">
        <f t="shared" si="30"/>
        <v>39</v>
      </c>
      <c r="I169" s="240">
        <f t="shared" si="31"/>
        <v>16965</v>
      </c>
      <c r="J169" s="106">
        <f t="shared" si="32"/>
        <v>0</v>
      </c>
      <c r="K169" s="240">
        <f t="shared" si="33"/>
        <v>0</v>
      </c>
      <c r="L169" s="106">
        <f t="shared" si="28"/>
        <v>8</v>
      </c>
      <c r="M169" s="240">
        <f t="shared" si="34"/>
        <v>3480</v>
      </c>
      <c r="N169" s="442">
        <f t="shared" si="35"/>
        <v>47</v>
      </c>
      <c r="O169" s="220">
        <f t="shared" si="25"/>
        <v>20445</v>
      </c>
    </row>
    <row r="170" spans="3:15" ht="12.75">
      <c r="C170" s="184" t="s">
        <v>1623</v>
      </c>
      <c r="D170" s="184">
        <v>1</v>
      </c>
      <c r="E170" s="240">
        <f t="shared" si="26"/>
        <v>300</v>
      </c>
      <c r="F170" s="240">
        <f t="shared" si="29"/>
        <v>300</v>
      </c>
      <c r="G170" s="474">
        <f t="shared" si="27"/>
        <v>0.2</v>
      </c>
      <c r="H170" s="442">
        <f t="shared" si="30"/>
        <v>39</v>
      </c>
      <c r="I170" s="240">
        <f t="shared" si="31"/>
        <v>11700</v>
      </c>
      <c r="J170" s="106">
        <f t="shared" si="32"/>
        <v>0</v>
      </c>
      <c r="K170" s="240">
        <f t="shared" si="33"/>
        <v>0</v>
      </c>
      <c r="L170" s="106">
        <f t="shared" si="28"/>
        <v>8</v>
      </c>
      <c r="M170" s="240">
        <f t="shared" si="34"/>
        <v>2400</v>
      </c>
      <c r="N170" s="442">
        <f t="shared" si="35"/>
        <v>47</v>
      </c>
      <c r="O170" s="220">
        <f t="shared" si="25"/>
        <v>14100</v>
      </c>
    </row>
    <row r="171" spans="3:15" ht="12.75">
      <c r="C171" s="184" t="s">
        <v>1624</v>
      </c>
      <c r="D171" s="184">
        <v>1</v>
      </c>
      <c r="E171" s="240">
        <f t="shared" si="26"/>
        <v>350</v>
      </c>
      <c r="F171" s="240">
        <f t="shared" si="29"/>
        <v>350</v>
      </c>
      <c r="G171" s="474">
        <f t="shared" si="27"/>
        <v>0.2</v>
      </c>
      <c r="H171" s="442">
        <f t="shared" si="30"/>
        <v>39</v>
      </c>
      <c r="I171" s="240">
        <f t="shared" si="31"/>
        <v>13650</v>
      </c>
      <c r="J171" s="106">
        <f t="shared" si="32"/>
        <v>0</v>
      </c>
      <c r="K171" s="240">
        <f t="shared" si="33"/>
        <v>0</v>
      </c>
      <c r="L171" s="106">
        <f t="shared" si="28"/>
        <v>8</v>
      </c>
      <c r="M171" s="240">
        <f t="shared" si="34"/>
        <v>2800</v>
      </c>
      <c r="N171" s="442">
        <f t="shared" si="35"/>
        <v>47</v>
      </c>
      <c r="O171" s="220">
        <f t="shared" si="25"/>
        <v>16450</v>
      </c>
    </row>
    <row r="172" spans="3:15" ht="12.75">
      <c r="C172" s="221" t="s">
        <v>1626</v>
      </c>
      <c r="D172" s="221"/>
      <c r="E172" s="241"/>
      <c r="F172" s="241">
        <f>SUM(F160:F171)</f>
        <v>4098</v>
      </c>
      <c r="G172" s="298"/>
      <c r="H172" s="298"/>
      <c r="I172" s="241">
        <f>SUM(I160:I171)</f>
        <v>159822</v>
      </c>
      <c r="J172" s="340"/>
      <c r="K172" s="241">
        <f>SUM(K160:K171)</f>
        <v>0</v>
      </c>
      <c r="L172" s="298"/>
      <c r="M172" s="241">
        <f>SUM(M160:M171)</f>
        <v>36784</v>
      </c>
      <c r="N172" s="298"/>
      <c r="O172" s="241">
        <f>SUM(O160:O171)</f>
        <v>196606</v>
      </c>
    </row>
    <row r="173" spans="3:15" ht="12.75">
      <c r="C173" s="245" t="s">
        <v>1055</v>
      </c>
      <c r="D173" s="473">
        <f>F124</f>
        <v>52</v>
      </c>
      <c r="E173" s="444">
        <f>E128</f>
        <v>0.2</v>
      </c>
      <c r="F173" s="441">
        <f>INT(D173*E173+0.9)</f>
        <v>11</v>
      </c>
      <c r="G173" s="331"/>
      <c r="H173" s="506" t="s">
        <v>222</v>
      </c>
      <c r="I173" s="506"/>
      <c r="J173" s="445" t="s">
        <v>568</v>
      </c>
      <c r="K173" s="445">
        <v>0</v>
      </c>
      <c r="L173" s="506" t="s">
        <v>1035</v>
      </c>
      <c r="M173" s="506"/>
      <c r="N173" s="506" t="s">
        <v>237</v>
      </c>
      <c r="O173" s="507"/>
    </row>
    <row r="174" spans="3:15" ht="12.75">
      <c r="C174" s="184" t="s">
        <v>1038</v>
      </c>
      <c r="D174" s="184" t="s">
        <v>211</v>
      </c>
      <c r="E174" s="106" t="s">
        <v>1039</v>
      </c>
      <c r="F174" s="106" t="s">
        <v>168</v>
      </c>
      <c r="G174" s="139" t="s">
        <v>1035</v>
      </c>
      <c r="H174" s="200" t="s">
        <v>250</v>
      </c>
      <c r="I174" s="200" t="s">
        <v>168</v>
      </c>
      <c r="J174" s="200" t="s">
        <v>250</v>
      </c>
      <c r="K174" s="200" t="s">
        <v>168</v>
      </c>
      <c r="L174" s="200" t="s">
        <v>250</v>
      </c>
      <c r="M174" s="200" t="s">
        <v>168</v>
      </c>
      <c r="N174" s="200" t="s">
        <v>250</v>
      </c>
      <c r="O174" s="443" t="s">
        <v>168</v>
      </c>
    </row>
    <row r="175" spans="3:15" ht="12.75">
      <c r="C175" s="113" t="s">
        <v>183</v>
      </c>
      <c r="D175" s="184">
        <v>2</v>
      </c>
      <c r="E175" s="240">
        <f>E130</f>
        <v>743</v>
      </c>
      <c r="F175" s="240">
        <f>D175*E175</f>
        <v>1486</v>
      </c>
      <c r="G175" s="474">
        <f>$E$173</f>
        <v>0.2</v>
      </c>
      <c r="H175" s="442">
        <f>D175*$D$173</f>
        <v>104</v>
      </c>
      <c r="I175" s="240">
        <f>H175*E175</f>
        <v>77272</v>
      </c>
      <c r="J175" s="106">
        <f>D175*$K$173</f>
        <v>0</v>
      </c>
      <c r="K175" s="240">
        <f>J175*E175</f>
        <v>0</v>
      </c>
      <c r="L175" s="106">
        <f>D175*(G175/$E$173)*$F$173</f>
        <v>22</v>
      </c>
      <c r="M175" s="240">
        <f>L175*E175</f>
        <v>16346</v>
      </c>
      <c r="N175" s="442">
        <f>H175+L175+J175</f>
        <v>126</v>
      </c>
      <c r="O175" s="220">
        <f aca="true" t="shared" si="36" ref="O175:O186">N175*E175</f>
        <v>93618</v>
      </c>
    </row>
    <row r="176" spans="3:15" ht="12.75">
      <c r="C176" s="113" t="s">
        <v>184</v>
      </c>
      <c r="D176" s="184">
        <v>0</v>
      </c>
      <c r="E176" s="240">
        <f aca="true" t="shared" si="37" ref="E176:E185">E131</f>
        <v>472</v>
      </c>
      <c r="F176" s="240">
        <f>D176*E176</f>
        <v>0</v>
      </c>
      <c r="G176" s="474">
        <f aca="true" t="shared" si="38" ref="G176:G186">$E$173</f>
        <v>0.2</v>
      </c>
      <c r="H176" s="442">
        <f>D176*$D$173</f>
        <v>0</v>
      </c>
      <c r="I176" s="240">
        <f>H176*E176</f>
        <v>0</v>
      </c>
      <c r="J176" s="106">
        <f>D176*$K$173</f>
        <v>0</v>
      </c>
      <c r="K176" s="240">
        <f>J176*E176</f>
        <v>0</v>
      </c>
      <c r="L176" s="106">
        <f aca="true" t="shared" si="39" ref="L176:L186">D176*(G176/$E$173)*$F$173</f>
        <v>0</v>
      </c>
      <c r="M176" s="240">
        <f>L176*E176</f>
        <v>0</v>
      </c>
      <c r="N176" s="442">
        <f>H176+L176+J176</f>
        <v>0</v>
      </c>
      <c r="O176" s="220">
        <f t="shared" si="36"/>
        <v>0</v>
      </c>
    </row>
    <row r="177" spans="3:15" ht="12.75">
      <c r="C177" s="184" t="s">
        <v>1616</v>
      </c>
      <c r="D177" s="184">
        <v>8</v>
      </c>
      <c r="E177" s="240">
        <f t="shared" si="37"/>
        <v>99</v>
      </c>
      <c r="F177" s="240">
        <f aca="true" t="shared" si="40" ref="F177:F186">D177*E177</f>
        <v>792</v>
      </c>
      <c r="G177" s="474">
        <v>0.3</v>
      </c>
      <c r="H177" s="442">
        <f aca="true" t="shared" si="41" ref="H177:H186">D177*$D$173</f>
        <v>416</v>
      </c>
      <c r="I177" s="240">
        <f aca="true" t="shared" si="42" ref="I177:I186">H177*E177</f>
        <v>41184</v>
      </c>
      <c r="J177" s="106">
        <f aca="true" t="shared" si="43" ref="J177:J186">D177*$K$173</f>
        <v>0</v>
      </c>
      <c r="K177" s="240">
        <f aca="true" t="shared" si="44" ref="K177:K186">J177*E177</f>
        <v>0</v>
      </c>
      <c r="L177" s="106">
        <f t="shared" si="39"/>
        <v>131.99999999999997</v>
      </c>
      <c r="M177" s="240">
        <f aca="true" t="shared" si="45" ref="M177:M186">L177*E177</f>
        <v>13067.999999999996</v>
      </c>
      <c r="N177" s="442">
        <f aca="true" t="shared" si="46" ref="N177:N186">H177+L177+J177</f>
        <v>548</v>
      </c>
      <c r="O177" s="220">
        <f t="shared" si="36"/>
        <v>54252</v>
      </c>
    </row>
    <row r="178" spans="3:15" ht="12.75">
      <c r="C178" s="184" t="s">
        <v>1617</v>
      </c>
      <c r="D178" s="184">
        <v>2</v>
      </c>
      <c r="E178" s="240">
        <f t="shared" si="37"/>
        <v>165</v>
      </c>
      <c r="F178" s="240">
        <f t="shared" si="40"/>
        <v>330</v>
      </c>
      <c r="G178" s="474">
        <f t="shared" si="38"/>
        <v>0.2</v>
      </c>
      <c r="H178" s="442">
        <f t="shared" si="41"/>
        <v>104</v>
      </c>
      <c r="I178" s="240">
        <f t="shared" si="42"/>
        <v>17160</v>
      </c>
      <c r="J178" s="106">
        <f t="shared" si="43"/>
        <v>0</v>
      </c>
      <c r="K178" s="240">
        <f t="shared" si="44"/>
        <v>0</v>
      </c>
      <c r="L178" s="106">
        <f t="shared" si="39"/>
        <v>22</v>
      </c>
      <c r="M178" s="240">
        <f t="shared" si="45"/>
        <v>3630</v>
      </c>
      <c r="N178" s="442">
        <f t="shared" si="46"/>
        <v>126</v>
      </c>
      <c r="O178" s="220">
        <f t="shared" si="36"/>
        <v>20790</v>
      </c>
    </row>
    <row r="179" spans="3:15" ht="12.75">
      <c r="C179" s="184" t="s">
        <v>1618</v>
      </c>
      <c r="D179" s="184">
        <v>16</v>
      </c>
      <c r="E179" s="240">
        <f t="shared" si="37"/>
        <v>13</v>
      </c>
      <c r="F179" s="240">
        <f t="shared" si="40"/>
        <v>208</v>
      </c>
      <c r="G179" s="474">
        <v>0.3</v>
      </c>
      <c r="H179" s="442">
        <f t="shared" si="41"/>
        <v>832</v>
      </c>
      <c r="I179" s="240">
        <f t="shared" si="42"/>
        <v>10816</v>
      </c>
      <c r="J179" s="106">
        <f t="shared" si="43"/>
        <v>0</v>
      </c>
      <c r="K179" s="240">
        <f t="shared" si="44"/>
        <v>0</v>
      </c>
      <c r="L179" s="106">
        <f t="shared" si="39"/>
        <v>263.99999999999994</v>
      </c>
      <c r="M179" s="240">
        <f t="shared" si="45"/>
        <v>3431.999999999999</v>
      </c>
      <c r="N179" s="442">
        <f t="shared" si="46"/>
        <v>1096</v>
      </c>
      <c r="O179" s="220">
        <f t="shared" si="36"/>
        <v>14248</v>
      </c>
    </row>
    <row r="180" spans="3:15" ht="12.75">
      <c r="C180" s="184" t="s">
        <v>1619</v>
      </c>
      <c r="D180" s="184">
        <v>1</v>
      </c>
      <c r="E180" s="240">
        <f t="shared" si="37"/>
        <v>50</v>
      </c>
      <c r="F180" s="240">
        <f t="shared" si="40"/>
        <v>50</v>
      </c>
      <c r="G180" s="474">
        <f t="shared" si="38"/>
        <v>0.2</v>
      </c>
      <c r="H180" s="442">
        <f t="shared" si="41"/>
        <v>52</v>
      </c>
      <c r="I180" s="240">
        <f t="shared" si="42"/>
        <v>2600</v>
      </c>
      <c r="J180" s="106">
        <f t="shared" si="43"/>
        <v>0</v>
      </c>
      <c r="K180" s="240">
        <f t="shared" si="44"/>
        <v>0</v>
      </c>
      <c r="L180" s="106">
        <f t="shared" si="39"/>
        <v>11</v>
      </c>
      <c r="M180" s="240">
        <f t="shared" si="45"/>
        <v>550</v>
      </c>
      <c r="N180" s="442">
        <f t="shared" si="46"/>
        <v>63</v>
      </c>
      <c r="O180" s="220">
        <f t="shared" si="36"/>
        <v>3150</v>
      </c>
    </row>
    <row r="181" spans="3:15" ht="12.75">
      <c r="C181" s="184" t="s">
        <v>1620</v>
      </c>
      <c r="D181" s="184">
        <v>1</v>
      </c>
      <c r="E181" s="240">
        <f t="shared" si="37"/>
        <v>22</v>
      </c>
      <c r="F181" s="240">
        <f t="shared" si="40"/>
        <v>22</v>
      </c>
      <c r="G181" s="474">
        <f t="shared" si="38"/>
        <v>0.2</v>
      </c>
      <c r="H181" s="442">
        <f t="shared" si="41"/>
        <v>52</v>
      </c>
      <c r="I181" s="240">
        <f t="shared" si="42"/>
        <v>1144</v>
      </c>
      <c r="J181" s="106">
        <f t="shared" si="43"/>
        <v>0</v>
      </c>
      <c r="K181" s="240">
        <f t="shared" si="44"/>
        <v>0</v>
      </c>
      <c r="L181" s="106">
        <f t="shared" si="39"/>
        <v>11</v>
      </c>
      <c r="M181" s="240">
        <f t="shared" si="45"/>
        <v>242</v>
      </c>
      <c r="N181" s="442">
        <f t="shared" si="46"/>
        <v>63</v>
      </c>
      <c r="O181" s="220">
        <f t="shared" si="36"/>
        <v>1386</v>
      </c>
    </row>
    <row r="182" spans="3:15" ht="12.75">
      <c r="C182" s="184" t="s">
        <v>1621</v>
      </c>
      <c r="D182" s="184">
        <v>1</v>
      </c>
      <c r="E182" s="240">
        <f t="shared" si="37"/>
        <v>100</v>
      </c>
      <c r="F182" s="240">
        <f t="shared" si="40"/>
        <v>100</v>
      </c>
      <c r="G182" s="474">
        <f t="shared" si="38"/>
        <v>0.2</v>
      </c>
      <c r="H182" s="442">
        <f t="shared" si="41"/>
        <v>52</v>
      </c>
      <c r="I182" s="240">
        <f t="shared" si="42"/>
        <v>5200</v>
      </c>
      <c r="J182" s="106">
        <f t="shared" si="43"/>
        <v>0</v>
      </c>
      <c r="K182" s="240">
        <f t="shared" si="44"/>
        <v>0</v>
      </c>
      <c r="L182" s="106">
        <f t="shared" si="39"/>
        <v>11</v>
      </c>
      <c r="M182" s="240">
        <f t="shared" si="45"/>
        <v>1100</v>
      </c>
      <c r="N182" s="442">
        <f t="shared" si="46"/>
        <v>63</v>
      </c>
      <c r="O182" s="220">
        <f t="shared" si="36"/>
        <v>6300</v>
      </c>
    </row>
    <row r="183" spans="3:15" ht="12.75">
      <c r="C183" s="184" t="s">
        <v>1625</v>
      </c>
      <c r="D183" s="184">
        <v>1</v>
      </c>
      <c r="E183" s="240">
        <f t="shared" si="37"/>
        <v>25</v>
      </c>
      <c r="F183" s="240">
        <f t="shared" si="40"/>
        <v>25</v>
      </c>
      <c r="G183" s="474">
        <f t="shared" si="38"/>
        <v>0.2</v>
      </c>
      <c r="H183" s="442">
        <f t="shared" si="41"/>
        <v>52</v>
      </c>
      <c r="I183" s="240">
        <f t="shared" si="42"/>
        <v>1300</v>
      </c>
      <c r="J183" s="106">
        <f t="shared" si="43"/>
        <v>0</v>
      </c>
      <c r="K183" s="240">
        <f t="shared" si="44"/>
        <v>0</v>
      </c>
      <c r="L183" s="106">
        <f t="shared" si="39"/>
        <v>11</v>
      </c>
      <c r="M183" s="240">
        <f t="shared" si="45"/>
        <v>275</v>
      </c>
      <c r="N183" s="442">
        <f t="shared" si="46"/>
        <v>63</v>
      </c>
      <c r="O183" s="220">
        <f t="shared" si="36"/>
        <v>1575</v>
      </c>
    </row>
    <row r="184" spans="3:15" ht="12.75">
      <c r="C184" s="184" t="s">
        <v>1622</v>
      </c>
      <c r="D184" s="184">
        <v>1</v>
      </c>
      <c r="E184" s="240">
        <f t="shared" si="37"/>
        <v>435</v>
      </c>
      <c r="F184" s="240">
        <f t="shared" si="40"/>
        <v>435</v>
      </c>
      <c r="G184" s="474">
        <f t="shared" si="38"/>
        <v>0.2</v>
      </c>
      <c r="H184" s="442">
        <f t="shared" si="41"/>
        <v>52</v>
      </c>
      <c r="I184" s="240">
        <f t="shared" si="42"/>
        <v>22620</v>
      </c>
      <c r="J184" s="106">
        <f t="shared" si="43"/>
        <v>0</v>
      </c>
      <c r="K184" s="240">
        <f t="shared" si="44"/>
        <v>0</v>
      </c>
      <c r="L184" s="106">
        <f t="shared" si="39"/>
        <v>11</v>
      </c>
      <c r="M184" s="240">
        <f t="shared" si="45"/>
        <v>4785</v>
      </c>
      <c r="N184" s="442">
        <f t="shared" si="46"/>
        <v>63</v>
      </c>
      <c r="O184" s="220">
        <f t="shared" si="36"/>
        <v>27405</v>
      </c>
    </row>
    <row r="185" spans="3:15" ht="12.75">
      <c r="C185" s="184" t="s">
        <v>1623</v>
      </c>
      <c r="D185" s="184">
        <v>1</v>
      </c>
      <c r="E185" s="240">
        <f t="shared" si="37"/>
        <v>300</v>
      </c>
      <c r="F185" s="240">
        <f t="shared" si="40"/>
        <v>300</v>
      </c>
      <c r="G185" s="474">
        <f t="shared" si="38"/>
        <v>0.2</v>
      </c>
      <c r="H185" s="442">
        <f t="shared" si="41"/>
        <v>52</v>
      </c>
      <c r="I185" s="240">
        <f t="shared" si="42"/>
        <v>15600</v>
      </c>
      <c r="J185" s="106">
        <f t="shared" si="43"/>
        <v>0</v>
      </c>
      <c r="K185" s="240">
        <f t="shared" si="44"/>
        <v>0</v>
      </c>
      <c r="L185" s="106">
        <f t="shared" si="39"/>
        <v>11</v>
      </c>
      <c r="M185" s="240">
        <f t="shared" si="45"/>
        <v>3300</v>
      </c>
      <c r="N185" s="442">
        <f t="shared" si="46"/>
        <v>63</v>
      </c>
      <c r="O185" s="220">
        <f t="shared" si="36"/>
        <v>18900</v>
      </c>
    </row>
    <row r="186" spans="3:15" ht="12.75">
      <c r="C186" s="184" t="s">
        <v>1624</v>
      </c>
      <c r="D186" s="184">
        <v>1</v>
      </c>
      <c r="E186" s="240">
        <f>E141</f>
        <v>350</v>
      </c>
      <c r="F186" s="240">
        <f t="shared" si="40"/>
        <v>350</v>
      </c>
      <c r="G186" s="474">
        <f t="shared" si="38"/>
        <v>0.2</v>
      </c>
      <c r="H186" s="442">
        <f t="shared" si="41"/>
        <v>52</v>
      </c>
      <c r="I186" s="240">
        <f t="shared" si="42"/>
        <v>18200</v>
      </c>
      <c r="J186" s="106">
        <f t="shared" si="43"/>
        <v>0</v>
      </c>
      <c r="K186" s="240">
        <f t="shared" si="44"/>
        <v>0</v>
      </c>
      <c r="L186" s="106">
        <f t="shared" si="39"/>
        <v>11</v>
      </c>
      <c r="M186" s="240">
        <f t="shared" si="45"/>
        <v>3850</v>
      </c>
      <c r="N186" s="442">
        <f t="shared" si="46"/>
        <v>63</v>
      </c>
      <c r="O186" s="220">
        <f t="shared" si="36"/>
        <v>22050</v>
      </c>
    </row>
    <row r="187" spans="3:15" ht="12.75">
      <c r="C187" s="221" t="s">
        <v>1626</v>
      </c>
      <c r="D187" s="221"/>
      <c r="E187" s="241"/>
      <c r="F187" s="241">
        <f>SUM(F175:F186)</f>
        <v>4098</v>
      </c>
      <c r="G187" s="298"/>
      <c r="H187" s="298"/>
      <c r="I187" s="241">
        <f>SUM(I175:I186)</f>
        <v>213096</v>
      </c>
      <c r="J187" s="340"/>
      <c r="K187" s="241">
        <f>SUM(K175:K186)</f>
        <v>0</v>
      </c>
      <c r="L187" s="298"/>
      <c r="M187" s="241">
        <f>SUM(M175:M186)</f>
        <v>50578</v>
      </c>
      <c r="N187" s="298"/>
      <c r="O187" s="241">
        <f>SUM(O175:O186)</f>
        <v>263674</v>
      </c>
    </row>
    <row r="188" ht="12.75">
      <c r="O188" s="203">
        <f>O187+O172+O157+O142</f>
        <v>1091078</v>
      </c>
    </row>
    <row r="189" spans="3:4" ht="12.75">
      <c r="C189" t="s">
        <v>185</v>
      </c>
      <c r="D189">
        <f>D128+D143+D158+D173</f>
        <v>208</v>
      </c>
    </row>
    <row r="190" spans="3:4" ht="12.75">
      <c r="C190" t="s">
        <v>1035</v>
      </c>
      <c r="D190">
        <f>F128+F143+F158+F173</f>
        <v>43</v>
      </c>
    </row>
    <row r="191" spans="3:9" ht="12.75">
      <c r="C191" t="s">
        <v>186</v>
      </c>
      <c r="D191">
        <f>K128+K143+K158+K173</f>
        <v>10</v>
      </c>
      <c r="I191" s="203">
        <v>939432</v>
      </c>
    </row>
    <row r="192" spans="3:9" ht="12.75">
      <c r="C192" t="s">
        <v>237</v>
      </c>
      <c r="D192">
        <f>SUM(D189:D191)</f>
        <v>261</v>
      </c>
      <c r="F192" t="s">
        <v>415</v>
      </c>
      <c r="I192" s="203">
        <v>855422</v>
      </c>
    </row>
    <row r="193" spans="3:9" ht="12.75">
      <c r="C193" s="106" t="s">
        <v>183</v>
      </c>
      <c r="D193" s="442">
        <f aca="true" t="shared" si="47" ref="D193:D204">N130+N145+N160+N175</f>
        <v>522</v>
      </c>
      <c r="E193" s="240">
        <f>E130</f>
        <v>743</v>
      </c>
      <c r="F193" s="203">
        <f>E193*D193</f>
        <v>387846</v>
      </c>
      <c r="G193" t="s">
        <v>343</v>
      </c>
      <c r="I193" s="203">
        <f>I191-I192</f>
        <v>84010</v>
      </c>
    </row>
    <row r="194" spans="3:9" ht="12.75">
      <c r="C194" s="106" t="s">
        <v>184</v>
      </c>
      <c r="D194" s="442">
        <f t="shared" si="47"/>
        <v>0</v>
      </c>
      <c r="E194" s="240">
        <f aca="true" t="shared" si="48" ref="E194:E204">E131</f>
        <v>472</v>
      </c>
      <c r="F194" s="203">
        <f aca="true" t="shared" si="49" ref="F194:F204">E194*D194</f>
        <v>0</v>
      </c>
      <c r="I194" s="203">
        <f>D194*(E193-E194)</f>
        <v>0</v>
      </c>
    </row>
    <row r="195" spans="3:7" ht="12.75">
      <c r="C195" s="106" t="s">
        <v>1616</v>
      </c>
      <c r="D195" s="442">
        <f>N132+N147+N162+N177</f>
        <v>2260</v>
      </c>
      <c r="E195" s="240">
        <f t="shared" si="48"/>
        <v>99</v>
      </c>
      <c r="F195" s="203">
        <f t="shared" si="49"/>
        <v>223740</v>
      </c>
      <c r="G195" t="s">
        <v>343</v>
      </c>
    </row>
    <row r="196" spans="3:7" ht="12.75">
      <c r="C196" s="106" t="s">
        <v>1617</v>
      </c>
      <c r="D196" s="442">
        <f t="shared" si="47"/>
        <v>522</v>
      </c>
      <c r="E196" s="240">
        <f t="shared" si="48"/>
        <v>165</v>
      </c>
      <c r="F196" s="203">
        <f t="shared" si="49"/>
        <v>86130</v>
      </c>
      <c r="G196" t="s">
        <v>1136</v>
      </c>
    </row>
    <row r="197" spans="3:7" ht="12.75">
      <c r="C197" s="106" t="s">
        <v>1618</v>
      </c>
      <c r="D197" s="442">
        <f t="shared" si="47"/>
        <v>4520</v>
      </c>
      <c r="E197" s="240">
        <f t="shared" si="48"/>
        <v>13</v>
      </c>
      <c r="F197" s="203">
        <f t="shared" si="49"/>
        <v>58760</v>
      </c>
      <c r="G197" t="s">
        <v>1137</v>
      </c>
    </row>
    <row r="198" spans="3:11" ht="12.75">
      <c r="C198" s="106" t="s">
        <v>1619</v>
      </c>
      <c r="D198" s="442">
        <f t="shared" si="47"/>
        <v>261</v>
      </c>
      <c r="E198" s="240">
        <f t="shared" si="48"/>
        <v>50</v>
      </c>
      <c r="F198" s="203">
        <f t="shared" si="49"/>
        <v>13050</v>
      </c>
      <c r="G198" s="227">
        <f>H255+H265</f>
        <v>69</v>
      </c>
      <c r="H198" s="227">
        <f>G198+D198</f>
        <v>330</v>
      </c>
      <c r="I198" s="245" t="s">
        <v>1365</v>
      </c>
      <c r="J198" s="331"/>
      <c r="K198" s="246"/>
    </row>
    <row r="199" spans="3:11" ht="12.75">
      <c r="C199" s="106" t="s">
        <v>1620</v>
      </c>
      <c r="D199" s="442">
        <f t="shared" si="47"/>
        <v>261</v>
      </c>
      <c r="E199" s="240">
        <f t="shared" si="48"/>
        <v>22</v>
      </c>
      <c r="F199" s="203">
        <f t="shared" si="49"/>
        <v>5742</v>
      </c>
      <c r="G199" t="s">
        <v>1138</v>
      </c>
      <c r="I199" s="184">
        <v>620</v>
      </c>
      <c r="J199" s="240">
        <v>3311</v>
      </c>
      <c r="K199" s="219" t="s">
        <v>1368</v>
      </c>
    </row>
    <row r="200" spans="3:11" ht="12.75">
      <c r="C200" s="106" t="s">
        <v>1621</v>
      </c>
      <c r="D200" s="442">
        <f t="shared" si="47"/>
        <v>261</v>
      </c>
      <c r="E200" s="240">
        <f t="shared" si="48"/>
        <v>100</v>
      </c>
      <c r="F200" s="203">
        <f t="shared" si="49"/>
        <v>26100</v>
      </c>
      <c r="I200" s="184" t="s">
        <v>1366</v>
      </c>
      <c r="J200" s="240">
        <v>90</v>
      </c>
      <c r="K200" s="219" t="s">
        <v>1369</v>
      </c>
    </row>
    <row r="201" spans="3:15" ht="12.75">
      <c r="C201" s="106" t="s">
        <v>1625</v>
      </c>
      <c r="D201" s="442">
        <f t="shared" si="47"/>
        <v>261</v>
      </c>
      <c r="E201" s="240">
        <f t="shared" si="48"/>
        <v>25</v>
      </c>
      <c r="F201" s="203">
        <f t="shared" si="49"/>
        <v>6525</v>
      </c>
      <c r="G201" t="s">
        <v>1138</v>
      </c>
      <c r="I201" s="184" t="s">
        <v>1367</v>
      </c>
      <c r="J201" s="240">
        <v>150</v>
      </c>
      <c r="K201" s="219" t="s">
        <v>1370</v>
      </c>
      <c r="L201" s="203"/>
      <c r="M201" s="203"/>
      <c r="O201" s="203"/>
    </row>
    <row r="202" spans="3:11" ht="12.75">
      <c r="C202" s="106" t="s">
        <v>1622</v>
      </c>
      <c r="D202" s="442">
        <f t="shared" si="47"/>
        <v>261</v>
      </c>
      <c r="E202" s="240">
        <f t="shared" si="48"/>
        <v>435</v>
      </c>
      <c r="F202" s="203">
        <f t="shared" si="49"/>
        <v>113535</v>
      </c>
      <c r="G202" t="s">
        <v>1137</v>
      </c>
      <c r="I202" s="221"/>
      <c r="J202" s="241">
        <f>SUM(J199:J201)</f>
        <v>3551</v>
      </c>
      <c r="K202" s="446"/>
    </row>
    <row r="203" spans="3:7" ht="12.75">
      <c r="C203" s="106" t="s">
        <v>1623</v>
      </c>
      <c r="D203" s="442">
        <f t="shared" si="47"/>
        <v>261</v>
      </c>
      <c r="E203" s="240">
        <f t="shared" si="48"/>
        <v>300</v>
      </c>
      <c r="F203" s="203">
        <f t="shared" si="49"/>
        <v>78300</v>
      </c>
      <c r="G203" t="s">
        <v>343</v>
      </c>
    </row>
    <row r="204" spans="3:13" ht="12.75">
      <c r="C204" s="106" t="s">
        <v>1624</v>
      </c>
      <c r="D204" s="442">
        <f t="shared" si="47"/>
        <v>261</v>
      </c>
      <c r="E204" s="240">
        <f t="shared" si="48"/>
        <v>350</v>
      </c>
      <c r="F204" s="203">
        <f t="shared" si="49"/>
        <v>91350</v>
      </c>
      <c r="G204" s="321" t="s">
        <v>343</v>
      </c>
      <c r="I204" s="203"/>
      <c r="J204" s="203"/>
      <c r="M204" s="203"/>
    </row>
    <row r="205" spans="3:13" ht="12.75">
      <c r="C205" s="106"/>
      <c r="D205" s="442"/>
      <c r="E205" s="240"/>
      <c r="F205" s="203">
        <f>SUM(F193:F204)</f>
        <v>1091078</v>
      </c>
      <c r="G205" s="203">
        <f>F204+F203+F196+F195+F193</f>
        <v>867366</v>
      </c>
      <c r="H205" s="129">
        <f>G205/F205</f>
        <v>0.794962413319671</v>
      </c>
      <c r="I205" s="203">
        <f>F205-G205</f>
        <v>223712</v>
      </c>
      <c r="M205" s="203"/>
    </row>
    <row r="206" spans="4:13" ht="12.75">
      <c r="D206" s="227"/>
      <c r="E206" s="203"/>
      <c r="F206" s="203"/>
      <c r="M206" s="203"/>
    </row>
    <row r="207" spans="3:10" ht="12.75">
      <c r="C207" t="s">
        <v>1671</v>
      </c>
      <c r="D207">
        <v>6</v>
      </c>
      <c r="E207" s="203">
        <v>250</v>
      </c>
      <c r="F207" s="203">
        <f>D207*E207</f>
        <v>1500</v>
      </c>
      <c r="G207" s="321">
        <v>0.1</v>
      </c>
      <c r="I207" s="203"/>
      <c r="J207" s="203"/>
    </row>
    <row r="208" spans="3:10" ht="12.75">
      <c r="C208" t="s">
        <v>1672</v>
      </c>
      <c r="E208" s="203"/>
      <c r="F208" s="203"/>
      <c r="G208" s="321"/>
      <c r="I208" s="203"/>
      <c r="J208" s="203">
        <v>192300</v>
      </c>
    </row>
    <row r="209" spans="3:10" ht="12.75">
      <c r="C209" t="s">
        <v>1362</v>
      </c>
      <c r="D209">
        <v>1</v>
      </c>
      <c r="E209" s="203">
        <v>1500</v>
      </c>
      <c r="F209" s="203">
        <f>D209*E209</f>
        <v>1500</v>
      </c>
      <c r="G209" s="321">
        <v>0.2</v>
      </c>
      <c r="I209" s="203"/>
      <c r="J209" s="203">
        <v>108780</v>
      </c>
    </row>
    <row r="210" spans="3:10" ht="12.75">
      <c r="C210" t="s">
        <v>1045</v>
      </c>
      <c r="D210">
        <v>1</v>
      </c>
      <c r="E210" s="203">
        <v>4000</v>
      </c>
      <c r="F210" s="203">
        <f>D210*E210</f>
        <v>4000</v>
      </c>
      <c r="G210" s="321">
        <v>0.2</v>
      </c>
      <c r="I210" s="203"/>
      <c r="J210" s="203">
        <f>J208-J209</f>
        <v>83520</v>
      </c>
    </row>
    <row r="211" spans="3:9" ht="12.75">
      <c r="C211" t="s">
        <v>337</v>
      </c>
      <c r="D211">
        <v>1</v>
      </c>
      <c r="E211" s="203">
        <v>5500</v>
      </c>
      <c r="F211" s="203">
        <f>D211*E211</f>
        <v>5500</v>
      </c>
      <c r="I211" s="203"/>
    </row>
    <row r="212" spans="3:6" ht="12.75">
      <c r="C212" t="s">
        <v>338</v>
      </c>
      <c r="D212">
        <v>1</v>
      </c>
      <c r="E212" s="203">
        <v>3000</v>
      </c>
      <c r="F212" s="203">
        <f aca="true" t="shared" si="50" ref="F212:F218">D212*E212</f>
        <v>3000</v>
      </c>
    </row>
    <row r="213" spans="3:9" ht="12.75">
      <c r="C213" t="s">
        <v>1047</v>
      </c>
      <c r="D213">
        <v>1</v>
      </c>
      <c r="E213" s="203">
        <f>H213*I213</f>
        <v>135</v>
      </c>
      <c r="F213" s="203">
        <f>D213*E213</f>
        <v>135</v>
      </c>
      <c r="H213">
        <v>9</v>
      </c>
      <c r="I213">
        <v>15</v>
      </c>
    </row>
    <row r="214" spans="3:6" ht="12.75">
      <c r="C214" t="s">
        <v>1048</v>
      </c>
      <c r="D214">
        <v>2</v>
      </c>
      <c r="E214" s="203">
        <v>15</v>
      </c>
      <c r="F214" s="203">
        <f>D214*E214</f>
        <v>30</v>
      </c>
    </row>
    <row r="215" spans="3:6" ht="12.75">
      <c r="C215" t="s">
        <v>1673</v>
      </c>
      <c r="D215">
        <v>1</v>
      </c>
      <c r="E215" s="203">
        <v>100</v>
      </c>
      <c r="F215" s="203">
        <f t="shared" si="50"/>
        <v>100</v>
      </c>
    </row>
    <row r="216" spans="3:6" ht="12.75">
      <c r="C216" t="s">
        <v>1217</v>
      </c>
      <c r="D216" s="227">
        <v>1</v>
      </c>
      <c r="E216" s="203">
        <f>J202</f>
        <v>3551</v>
      </c>
      <c r="F216" s="203">
        <f t="shared" si="50"/>
        <v>3551</v>
      </c>
    </row>
    <row r="217" spans="3:6" ht="12.75">
      <c r="C217" t="s">
        <v>1627</v>
      </c>
      <c r="D217" s="227">
        <v>1</v>
      </c>
      <c r="E217" s="203">
        <v>1500</v>
      </c>
      <c r="F217" s="203">
        <f t="shared" si="50"/>
        <v>1500</v>
      </c>
    </row>
    <row r="218" spans="3:6" ht="12.75">
      <c r="C218" t="s">
        <v>352</v>
      </c>
      <c r="D218" s="227">
        <v>1</v>
      </c>
      <c r="E218" s="203">
        <v>10</v>
      </c>
      <c r="F218" s="203">
        <f t="shared" si="50"/>
        <v>10</v>
      </c>
    </row>
    <row r="219" spans="4:6" ht="12.75">
      <c r="D219" s="203"/>
      <c r="E219" s="203"/>
      <c r="F219" s="203"/>
    </row>
    <row r="220" spans="4:8" ht="12.75">
      <c r="D220" t="s">
        <v>1053</v>
      </c>
      <c r="E220" t="s">
        <v>1054</v>
      </c>
      <c r="F220" t="s">
        <v>1055</v>
      </c>
      <c r="G220" t="s">
        <v>1056</v>
      </c>
      <c r="H220" t="s">
        <v>237</v>
      </c>
    </row>
    <row r="221" spans="3:12" ht="12.75">
      <c r="C221" s="245" t="s">
        <v>1016</v>
      </c>
      <c r="D221" s="323">
        <f>F142</f>
        <v>4098</v>
      </c>
      <c r="E221" s="323">
        <f>F157</f>
        <v>4098</v>
      </c>
      <c r="F221" s="323">
        <f>F187</f>
        <v>4098</v>
      </c>
      <c r="G221" s="323">
        <f>F172</f>
        <v>4098</v>
      </c>
      <c r="H221" s="246"/>
      <c r="I221" s="203"/>
      <c r="J221" s="203"/>
      <c r="L221" s="203"/>
    </row>
    <row r="222" spans="3:8" ht="12.75">
      <c r="C222" s="324" t="s">
        <v>1050</v>
      </c>
      <c r="D222" s="106">
        <f>D128</f>
        <v>59</v>
      </c>
      <c r="E222" s="106">
        <f>D143</f>
        <v>58</v>
      </c>
      <c r="F222" s="106">
        <f>D173</f>
        <v>52</v>
      </c>
      <c r="G222" s="106">
        <f>D158</f>
        <v>39</v>
      </c>
      <c r="H222" s="325">
        <f>SUM(D222:G222)</f>
        <v>208</v>
      </c>
    </row>
    <row r="223" spans="3:12" ht="12.75">
      <c r="C223" s="326" t="s">
        <v>168</v>
      </c>
      <c r="D223" s="240">
        <f>D221*D222</f>
        <v>241782</v>
      </c>
      <c r="E223" s="240">
        <f>E221*E222</f>
        <v>237684</v>
      </c>
      <c r="F223" s="240">
        <f>F221*F222</f>
        <v>213096</v>
      </c>
      <c r="G223" s="240">
        <f>G221*G222</f>
        <v>159822</v>
      </c>
      <c r="H223" s="220">
        <f>SUM(D223:G223)</f>
        <v>852384</v>
      </c>
      <c r="I223" s="203"/>
      <c r="J223" s="203"/>
      <c r="L223" s="203"/>
    </row>
    <row r="224" spans="3:12" ht="12.75">
      <c r="C224" s="324" t="s">
        <v>1667</v>
      </c>
      <c r="D224" s="327">
        <f>D128+F128+K128</f>
        <v>81</v>
      </c>
      <c r="E224" s="327">
        <f>D143+F143+K143</f>
        <v>70</v>
      </c>
      <c r="F224" s="327">
        <f>D173+F173+K173</f>
        <v>63</v>
      </c>
      <c r="G224" s="327">
        <f>D158+F158+K158</f>
        <v>47</v>
      </c>
      <c r="H224" s="325">
        <f>SUM(D224:G224)</f>
        <v>261</v>
      </c>
      <c r="I224" s="203"/>
      <c r="J224" s="203"/>
      <c r="L224" s="203"/>
    </row>
    <row r="225" spans="3:8" ht="12.75">
      <c r="C225" s="324" t="s">
        <v>1668</v>
      </c>
      <c r="D225" s="240">
        <f>K142+M142</f>
        <v>96156</v>
      </c>
      <c r="E225" s="240">
        <f>K157+M157</f>
        <v>55176</v>
      </c>
      <c r="F225" s="240">
        <f>K187+M187</f>
        <v>50578</v>
      </c>
      <c r="G225" s="240">
        <f>K172+M172</f>
        <v>36784</v>
      </c>
      <c r="H225" s="220">
        <f>SUM(D225:G225)</f>
        <v>238694</v>
      </c>
    </row>
    <row r="226" spans="3:8" ht="12.75">
      <c r="C226" s="328" t="s">
        <v>1568</v>
      </c>
      <c r="D226" s="241">
        <f>D223+D225</f>
        <v>337938</v>
      </c>
      <c r="E226" s="241">
        <f>E223+E225</f>
        <v>292860</v>
      </c>
      <c r="F226" s="241">
        <f>F223+F225</f>
        <v>263674</v>
      </c>
      <c r="G226" s="241">
        <f>G223+G225</f>
        <v>196606</v>
      </c>
      <c r="H226" s="334">
        <f>SUM(D226:G226)</f>
        <v>1091078</v>
      </c>
    </row>
    <row r="227" spans="3:8" ht="12.75">
      <c r="C227" s="297"/>
      <c r="D227" s="203"/>
      <c r="E227" s="203"/>
      <c r="F227" s="203"/>
      <c r="G227" s="203"/>
      <c r="H227" s="203"/>
    </row>
    <row r="228" spans="3:9" ht="12.75">
      <c r="C228" s="245" t="s">
        <v>1044</v>
      </c>
      <c r="D228" s="323">
        <f>$E$207</f>
        <v>250</v>
      </c>
      <c r="E228" s="323">
        <f>$E$207</f>
        <v>250</v>
      </c>
      <c r="F228" s="323">
        <f>$E$207</f>
        <v>250</v>
      </c>
      <c r="G228" s="323">
        <f>$E$207</f>
        <v>250</v>
      </c>
      <c r="H228" s="329"/>
      <c r="I228" t="s">
        <v>1284</v>
      </c>
    </row>
    <row r="229" spans="3:9" ht="12.75">
      <c r="C229" s="324" t="s">
        <v>1050</v>
      </c>
      <c r="D229" s="106">
        <v>288</v>
      </c>
      <c r="E229" s="106">
        <v>216</v>
      </c>
      <c r="F229" s="106">
        <f>2*D173</f>
        <v>104</v>
      </c>
      <c r="G229" s="106">
        <v>18</v>
      </c>
      <c r="H229" s="325">
        <f>SUM(D229:G229)</f>
        <v>626</v>
      </c>
      <c r="I229" s="227">
        <f>H229-F229</f>
        <v>522</v>
      </c>
    </row>
    <row r="230" spans="3:9" ht="12.75">
      <c r="C230" s="324" t="s">
        <v>1035</v>
      </c>
      <c r="D230" s="106">
        <f>INT($G$207*D229+0.5)</f>
        <v>29</v>
      </c>
      <c r="E230" s="106">
        <f>INT($G$207*E229+0.5)</f>
        <v>22</v>
      </c>
      <c r="F230" s="106">
        <f>INT($G$207*F229+0.5)</f>
        <v>10</v>
      </c>
      <c r="G230" s="106">
        <f>INT($G$207*G229+0.5)</f>
        <v>2</v>
      </c>
      <c r="H230" s="325">
        <f>SUM(D230:G230)</f>
        <v>63</v>
      </c>
      <c r="I230" s="227">
        <f>H230-F230</f>
        <v>53</v>
      </c>
    </row>
    <row r="231" spans="3:9" ht="12.75">
      <c r="C231" s="324" t="s">
        <v>1500</v>
      </c>
      <c r="D231" s="106">
        <f>D229+D230</f>
        <v>317</v>
      </c>
      <c r="E231" s="106">
        <f>E229+E230</f>
        <v>238</v>
      </c>
      <c r="F231" s="106">
        <f>F229+F230</f>
        <v>114</v>
      </c>
      <c r="G231" s="106">
        <f>G229+G230</f>
        <v>20</v>
      </c>
      <c r="H231" s="333">
        <f>SUM(D231:G231)</f>
        <v>689</v>
      </c>
      <c r="I231" s="227">
        <f>H231-F231</f>
        <v>575</v>
      </c>
    </row>
    <row r="232" spans="3:8" ht="12.75">
      <c r="C232" s="328" t="s">
        <v>168</v>
      </c>
      <c r="D232" s="241">
        <f>D228*(D229+D230)</f>
        <v>79250</v>
      </c>
      <c r="E232" s="241">
        <f>E228*(E229+E230)</f>
        <v>59500</v>
      </c>
      <c r="F232" s="241">
        <f>F228*(F229+F230)</f>
        <v>28500</v>
      </c>
      <c r="G232" s="241">
        <f>G228*(G229+G230)</f>
        <v>5000</v>
      </c>
      <c r="H232" s="334">
        <f>D232+E232+G232</f>
        <v>143750</v>
      </c>
    </row>
    <row r="233" spans="3:8" ht="12.75">
      <c r="C233" s="297"/>
      <c r="D233" s="203"/>
      <c r="E233" s="203"/>
      <c r="F233" s="203"/>
      <c r="G233" s="203"/>
      <c r="H233" s="203"/>
    </row>
    <row r="234" spans="3:9" ht="12.75">
      <c r="C234" s="330" t="s">
        <v>1363</v>
      </c>
      <c r="D234" s="323">
        <f>$F$213+$F$214</f>
        <v>165</v>
      </c>
      <c r="E234" s="323">
        <f>$F$213+$F$214</f>
        <v>165</v>
      </c>
      <c r="F234" s="323">
        <f>F215</f>
        <v>100</v>
      </c>
      <c r="G234" s="323">
        <f>$F$213+$F$214</f>
        <v>165</v>
      </c>
      <c r="H234" s="329"/>
      <c r="I234" s="242"/>
    </row>
    <row r="235" spans="3:9" ht="12.75">
      <c r="C235" s="324" t="s">
        <v>1052</v>
      </c>
      <c r="D235" s="106">
        <f>D229</f>
        <v>288</v>
      </c>
      <c r="E235" s="106">
        <f>E229</f>
        <v>216</v>
      </c>
      <c r="F235" s="442">
        <f>D173</f>
        <v>52</v>
      </c>
      <c r="G235" s="106">
        <f>G229</f>
        <v>18</v>
      </c>
      <c r="H235" s="333">
        <f>SUM(D235:G235)</f>
        <v>574</v>
      </c>
      <c r="I235" s="200">
        <f>20*(D235+E235+G235)</f>
        <v>10440</v>
      </c>
    </row>
    <row r="236" spans="3:8" ht="12.75">
      <c r="C236" s="328" t="s">
        <v>168</v>
      </c>
      <c r="D236" s="241">
        <f>D235*D234</f>
        <v>47520</v>
      </c>
      <c r="E236" s="241">
        <f>E235*E234</f>
        <v>35640</v>
      </c>
      <c r="F236" s="241">
        <f>F235*F234</f>
        <v>5200</v>
      </c>
      <c r="G236" s="241">
        <f>G235*G234</f>
        <v>2970</v>
      </c>
      <c r="H236" s="334">
        <f>SUM(D236:G236)</f>
        <v>91330</v>
      </c>
    </row>
    <row r="237" spans="3:8" ht="12.75">
      <c r="C237" s="297"/>
      <c r="D237" s="203"/>
      <c r="E237" s="203"/>
      <c r="F237" s="203"/>
      <c r="G237" s="203"/>
      <c r="H237" s="203"/>
    </row>
    <row r="238" spans="3:8" ht="12.75">
      <c r="C238" s="245" t="s">
        <v>1361</v>
      </c>
      <c r="D238" s="331"/>
      <c r="E238" s="331"/>
      <c r="F238" s="331"/>
      <c r="G238" s="331"/>
      <c r="H238" s="329"/>
    </row>
    <row r="239" spans="3:8" ht="12.75">
      <c r="C239" s="324" t="s">
        <v>1051</v>
      </c>
      <c r="D239" s="106">
        <v>2</v>
      </c>
      <c r="E239" s="106">
        <v>2</v>
      </c>
      <c r="F239" s="106">
        <v>2</v>
      </c>
      <c r="G239" s="106">
        <v>2</v>
      </c>
      <c r="H239" s="325">
        <f aca="true" t="shared" si="51" ref="H239:H245">SUM(D239:G239)</f>
        <v>8</v>
      </c>
    </row>
    <row r="240" spans="3:8" ht="12.75">
      <c r="C240" s="326" t="s">
        <v>168</v>
      </c>
      <c r="D240" s="240">
        <f>D239*$E$212</f>
        <v>6000</v>
      </c>
      <c r="E240" s="240">
        <f>E239*$E$212</f>
        <v>6000</v>
      </c>
      <c r="F240" s="240">
        <f>F239*$E$212</f>
        <v>6000</v>
      </c>
      <c r="G240" s="240">
        <f>G239*$E$212</f>
        <v>6000</v>
      </c>
      <c r="H240" s="220">
        <f t="shared" si="51"/>
        <v>24000</v>
      </c>
    </row>
    <row r="241" spans="3:8" ht="12.75">
      <c r="C241" s="324" t="s">
        <v>1219</v>
      </c>
      <c r="D241" s="106">
        <f>D239</f>
        <v>2</v>
      </c>
      <c r="E241" s="106">
        <f>E239</f>
        <v>2</v>
      </c>
      <c r="F241" s="106">
        <f>F239</f>
        <v>2</v>
      </c>
      <c r="G241" s="106">
        <f>G239</f>
        <v>2</v>
      </c>
      <c r="H241" s="325">
        <f t="shared" si="51"/>
        <v>8</v>
      </c>
    </row>
    <row r="242" spans="3:8" ht="12.75">
      <c r="C242" s="326" t="s">
        <v>168</v>
      </c>
      <c r="D242" s="240">
        <f>D241*$E$217</f>
        <v>3000</v>
      </c>
      <c r="E242" s="240">
        <f>E241*$E$217</f>
        <v>3000</v>
      </c>
      <c r="F242" s="240">
        <f>F241*$E$217</f>
        <v>3000</v>
      </c>
      <c r="G242" s="240">
        <f>G241*$E$217</f>
        <v>3000</v>
      </c>
      <c r="H242" s="220">
        <f t="shared" si="51"/>
        <v>12000</v>
      </c>
    </row>
    <row r="243" spans="3:8" ht="12.75">
      <c r="C243" s="324" t="s">
        <v>1049</v>
      </c>
      <c r="D243" s="106">
        <v>5</v>
      </c>
      <c r="E243" s="106">
        <v>4</v>
      </c>
      <c r="F243" s="106">
        <v>4</v>
      </c>
      <c r="G243" s="106">
        <v>3</v>
      </c>
      <c r="H243" s="325">
        <f t="shared" si="51"/>
        <v>16</v>
      </c>
    </row>
    <row r="244" spans="3:9" ht="12.75">
      <c r="C244" s="326" t="s">
        <v>168</v>
      </c>
      <c r="D244" s="240">
        <f>D243*$E$211</f>
        <v>27500</v>
      </c>
      <c r="E244" s="240">
        <f>E243*$E$211</f>
        <v>22000</v>
      </c>
      <c r="F244" s="240">
        <f>F243*$E$211</f>
        <v>22000</v>
      </c>
      <c r="G244" s="240">
        <f>G243*$E$211</f>
        <v>16500</v>
      </c>
      <c r="H244" s="220">
        <f t="shared" si="51"/>
        <v>88000</v>
      </c>
      <c r="I244" s="203">
        <v>112000</v>
      </c>
    </row>
    <row r="245" spans="3:8" ht="12.75">
      <c r="C245" s="324" t="s">
        <v>1217</v>
      </c>
      <c r="D245" s="106">
        <f>D243</f>
        <v>5</v>
      </c>
      <c r="E245" s="106">
        <f>E243</f>
        <v>4</v>
      </c>
      <c r="F245" s="106">
        <f>F243</f>
        <v>4</v>
      </c>
      <c r="G245" s="106">
        <f>G243</f>
        <v>3</v>
      </c>
      <c r="H245" s="325">
        <f t="shared" si="51"/>
        <v>16</v>
      </c>
    </row>
    <row r="246" spans="3:9" ht="12.75">
      <c r="C246" s="332" t="s">
        <v>168</v>
      </c>
      <c r="D246" s="241">
        <f>D245*$E$216</f>
        <v>17755</v>
      </c>
      <c r="E246" s="241">
        <f>E245*$E$216</f>
        <v>14204</v>
      </c>
      <c r="F246" s="241">
        <f>F245*$E$216</f>
        <v>14204</v>
      </c>
      <c r="G246" s="241">
        <f>G245*$E$216</f>
        <v>10653</v>
      </c>
      <c r="H246" s="241">
        <f>H245*$E$216</f>
        <v>56816</v>
      </c>
      <c r="I246" s="203">
        <f>H240+H242+H244+H246</f>
        <v>180816</v>
      </c>
    </row>
    <row r="247" ht="12.75">
      <c r="H247" s="203"/>
    </row>
    <row r="248" spans="3:8" ht="12.75">
      <c r="C248" s="245" t="s">
        <v>1045</v>
      </c>
      <c r="D248" s="331"/>
      <c r="E248" s="331"/>
      <c r="F248" s="331"/>
      <c r="G248" s="331"/>
      <c r="H248" s="246"/>
    </row>
    <row r="249" spans="3:8" ht="12.75">
      <c r="C249" s="324" t="s">
        <v>1050</v>
      </c>
      <c r="D249" s="106">
        <f>2*D243</f>
        <v>10</v>
      </c>
      <c r="E249" s="106">
        <f>2*E243</f>
        <v>8</v>
      </c>
      <c r="F249" s="106">
        <f>2*F243</f>
        <v>8</v>
      </c>
      <c r="G249" s="106">
        <f>2*G243</f>
        <v>6</v>
      </c>
      <c r="H249" s="219">
        <f>SUM(D249:G249)</f>
        <v>32</v>
      </c>
    </row>
    <row r="250" spans="3:8" ht="12.75">
      <c r="C250" s="326" t="s">
        <v>168</v>
      </c>
      <c r="D250" s="240">
        <f>D249*$E$210</f>
        <v>40000</v>
      </c>
      <c r="E250" s="240">
        <f>E249*$E$210</f>
        <v>32000</v>
      </c>
      <c r="F250" s="240">
        <f>F249*$E$210</f>
        <v>32000</v>
      </c>
      <c r="G250" s="240">
        <f>G249*$E$210</f>
        <v>24000</v>
      </c>
      <c r="H250" s="220">
        <f>SUM(D250:G250)</f>
        <v>128000</v>
      </c>
    </row>
    <row r="251" spans="3:8" ht="12.75">
      <c r="C251" s="324" t="s">
        <v>1360</v>
      </c>
      <c r="D251" s="106">
        <v>2</v>
      </c>
      <c r="E251" s="106">
        <v>2</v>
      </c>
      <c r="F251" s="106">
        <v>2</v>
      </c>
      <c r="G251" s="106">
        <v>1</v>
      </c>
      <c r="H251" s="219">
        <v>7</v>
      </c>
    </row>
    <row r="252" spans="3:8" ht="12.75">
      <c r="C252" s="326" t="s">
        <v>168</v>
      </c>
      <c r="D252" s="240">
        <f>D251*$E$210</f>
        <v>8000</v>
      </c>
      <c r="E252" s="240">
        <f>E251*$E$210</f>
        <v>8000</v>
      </c>
      <c r="F252" s="240">
        <f>F251*$E$210</f>
        <v>8000</v>
      </c>
      <c r="G252" s="240">
        <f>G251*$E$210</f>
        <v>4000</v>
      </c>
      <c r="H252" s="220">
        <f>SUM(D252:G252)</f>
        <v>28000</v>
      </c>
    </row>
    <row r="253" spans="3:8" ht="12.75">
      <c r="C253" s="324" t="s">
        <v>1567</v>
      </c>
      <c r="D253" s="327">
        <v>5</v>
      </c>
      <c r="E253" s="327">
        <v>0</v>
      </c>
      <c r="F253" s="327">
        <v>0</v>
      </c>
      <c r="G253" s="327">
        <v>0</v>
      </c>
      <c r="H253" s="325"/>
    </row>
    <row r="254" spans="3:8" ht="12.75">
      <c r="C254" s="326" t="s">
        <v>168</v>
      </c>
      <c r="D254" s="240">
        <f>D253*$E$210</f>
        <v>20000</v>
      </c>
      <c r="E254" s="240">
        <f>E253*$E$210</f>
        <v>0</v>
      </c>
      <c r="F254" s="240">
        <f>F253*$E$210</f>
        <v>0</v>
      </c>
      <c r="G254" s="240">
        <f>G253*$E$210</f>
        <v>0</v>
      </c>
      <c r="H254" s="220">
        <f>SUM(D254:G254)</f>
        <v>20000</v>
      </c>
    </row>
    <row r="255" spans="3:8" ht="12.75">
      <c r="C255" s="324" t="s">
        <v>1500</v>
      </c>
      <c r="D255" s="327">
        <f aca="true" t="shared" si="52" ref="D255:G256">D249+D251+D253</f>
        <v>17</v>
      </c>
      <c r="E255" s="327">
        <f t="shared" si="52"/>
        <v>10</v>
      </c>
      <c r="F255" s="327">
        <f t="shared" si="52"/>
        <v>10</v>
      </c>
      <c r="G255" s="327">
        <f t="shared" si="52"/>
        <v>7</v>
      </c>
      <c r="H255" s="325">
        <f>SUM(D255:G255)</f>
        <v>44</v>
      </c>
    </row>
    <row r="256" spans="3:8" ht="12.75">
      <c r="C256" s="328" t="s">
        <v>1568</v>
      </c>
      <c r="D256" s="241">
        <f t="shared" si="52"/>
        <v>68000</v>
      </c>
      <c r="E256" s="241">
        <f t="shared" si="52"/>
        <v>40000</v>
      </c>
      <c r="F256" s="241">
        <f t="shared" si="52"/>
        <v>40000</v>
      </c>
      <c r="G256" s="241">
        <f t="shared" si="52"/>
        <v>28000</v>
      </c>
      <c r="H256" s="222">
        <f>SUM(D256:G256)</f>
        <v>176000</v>
      </c>
    </row>
    <row r="257" spans="3:8" ht="12.75">
      <c r="C257" s="297"/>
      <c r="D257" s="203"/>
      <c r="E257" s="203"/>
      <c r="F257" s="203"/>
      <c r="G257" s="203"/>
      <c r="H257" s="203"/>
    </row>
    <row r="258" spans="3:8" ht="12.75">
      <c r="C258" s="245" t="s">
        <v>1362</v>
      </c>
      <c r="D258" s="331"/>
      <c r="E258" s="331"/>
      <c r="F258" s="331"/>
      <c r="G258" s="331"/>
      <c r="H258" s="246"/>
    </row>
    <row r="259" spans="3:8" ht="12.75">
      <c r="C259" s="324" t="s">
        <v>1050</v>
      </c>
      <c r="D259" s="106">
        <f>D243</f>
        <v>5</v>
      </c>
      <c r="E259" s="106">
        <f>E243</f>
        <v>4</v>
      </c>
      <c r="F259" s="106">
        <f>F243</f>
        <v>4</v>
      </c>
      <c r="G259" s="106">
        <f>G243</f>
        <v>3</v>
      </c>
      <c r="H259" s="219">
        <f aca="true" t="shared" si="53" ref="H259:H266">SUM(D259:G259)</f>
        <v>16</v>
      </c>
    </row>
    <row r="260" spans="3:8" ht="12.75">
      <c r="C260" s="326" t="s">
        <v>168</v>
      </c>
      <c r="D260" s="240">
        <f>D259*$E$209</f>
        <v>7500</v>
      </c>
      <c r="E260" s="240">
        <f>E259*$E$209</f>
        <v>6000</v>
      </c>
      <c r="F260" s="240">
        <f>F259*$E$209</f>
        <v>6000</v>
      </c>
      <c r="G260" s="240">
        <f>G259*$E$209</f>
        <v>4500</v>
      </c>
      <c r="H260" s="220">
        <f t="shared" si="53"/>
        <v>24000</v>
      </c>
    </row>
    <row r="261" spans="3:8" ht="12.75">
      <c r="C261" s="324" t="s">
        <v>1360</v>
      </c>
      <c r="D261" s="106">
        <v>1</v>
      </c>
      <c r="E261" s="106">
        <v>1</v>
      </c>
      <c r="F261" s="106">
        <v>1</v>
      </c>
      <c r="G261" s="106">
        <v>1</v>
      </c>
      <c r="H261" s="219">
        <f t="shared" si="53"/>
        <v>4</v>
      </c>
    </row>
    <row r="262" spans="3:8" ht="12.75">
      <c r="C262" s="326" t="s">
        <v>168</v>
      </c>
      <c r="D262" s="240">
        <f>D261*$E$209</f>
        <v>1500</v>
      </c>
      <c r="E262" s="240">
        <f>E261*$E$209</f>
        <v>1500</v>
      </c>
      <c r="F262" s="240">
        <f>F261*$E$209</f>
        <v>1500</v>
      </c>
      <c r="G262" s="240">
        <f>G261*$E$209</f>
        <v>1500</v>
      </c>
      <c r="H262" s="220">
        <f t="shared" si="53"/>
        <v>6000</v>
      </c>
    </row>
    <row r="263" spans="3:8" ht="12.75">
      <c r="C263" s="324" t="s">
        <v>1567</v>
      </c>
      <c r="D263" s="106">
        <v>5</v>
      </c>
      <c r="E263" s="106">
        <v>0</v>
      </c>
      <c r="F263" s="106">
        <v>0</v>
      </c>
      <c r="G263" s="106">
        <v>0</v>
      </c>
      <c r="H263" s="219">
        <f t="shared" si="53"/>
        <v>5</v>
      </c>
    </row>
    <row r="264" spans="3:8" ht="12.75">
      <c r="C264" s="326" t="s">
        <v>168</v>
      </c>
      <c r="D264" s="240">
        <f>D263*$E$209</f>
        <v>7500</v>
      </c>
      <c r="E264" s="240">
        <f>E263*$E$209</f>
        <v>0</v>
      </c>
      <c r="F264" s="240">
        <f>F263*$E$209</f>
        <v>0</v>
      </c>
      <c r="G264" s="240">
        <f>G263*$E$209</f>
        <v>0</v>
      </c>
      <c r="H264" s="220">
        <f t="shared" si="53"/>
        <v>7500</v>
      </c>
    </row>
    <row r="265" spans="3:8" ht="12.75">
      <c r="C265" s="324" t="s">
        <v>1500</v>
      </c>
      <c r="D265" s="106">
        <f aca="true" t="shared" si="54" ref="D265:G266">D259+D261+D263</f>
        <v>11</v>
      </c>
      <c r="E265" s="106">
        <f t="shared" si="54"/>
        <v>5</v>
      </c>
      <c r="F265" s="106">
        <f t="shared" si="54"/>
        <v>5</v>
      </c>
      <c r="G265" s="106">
        <f t="shared" si="54"/>
        <v>4</v>
      </c>
      <c r="H265" s="333">
        <f t="shared" si="53"/>
        <v>25</v>
      </c>
    </row>
    <row r="266" spans="3:8" ht="12.75">
      <c r="C266" s="328" t="s">
        <v>1568</v>
      </c>
      <c r="D266" s="241">
        <f>D260+D262+D264</f>
        <v>16500</v>
      </c>
      <c r="E266" s="241">
        <f t="shared" si="54"/>
        <v>7500</v>
      </c>
      <c r="F266" s="241">
        <f t="shared" si="54"/>
        <v>7500</v>
      </c>
      <c r="G266" s="241">
        <f t="shared" si="54"/>
        <v>6000</v>
      </c>
      <c r="H266" s="334">
        <f t="shared" si="53"/>
        <v>37500</v>
      </c>
    </row>
  </sheetData>
  <mergeCells count="29">
    <mergeCell ref="G21:I21"/>
    <mergeCell ref="N128:O128"/>
    <mergeCell ref="H128:I128"/>
    <mergeCell ref="L128:M128"/>
    <mergeCell ref="J21:K21"/>
    <mergeCell ref="G39:I39"/>
    <mergeCell ref="I93:J93"/>
    <mergeCell ref="B49:G49"/>
    <mergeCell ref="B57:G57"/>
    <mergeCell ref="B64:G64"/>
    <mergeCell ref="B71:G71"/>
    <mergeCell ref="B79:G79"/>
    <mergeCell ref="B86:G86"/>
    <mergeCell ref="B93:G93"/>
    <mergeCell ref="L143:M143"/>
    <mergeCell ref="B100:G100"/>
    <mergeCell ref="B112:G112"/>
    <mergeCell ref="H173:I173"/>
    <mergeCell ref="L173:M173"/>
    <mergeCell ref="N143:O143"/>
    <mergeCell ref="N173:O173"/>
    <mergeCell ref="B1:F1"/>
    <mergeCell ref="B21:F21"/>
    <mergeCell ref="B47:F47"/>
    <mergeCell ref="B105:G105"/>
    <mergeCell ref="H158:I158"/>
    <mergeCell ref="L158:M158"/>
    <mergeCell ref="N158:O158"/>
    <mergeCell ref="H143:I143"/>
  </mergeCells>
  <printOptions/>
  <pageMargins left="0.75" right="0.75" top="0.73" bottom="0.68" header="0.5" footer="0.5"/>
  <pageSetup fitToHeight="6" fitToWidth="1" horizontalDpi="360" verticalDpi="360" orientation="landscape" scale="58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46"/>
  <sheetViews>
    <sheetView workbookViewId="0" topLeftCell="A4">
      <pane ySplit="1530" topLeftCell="BM166" activePane="bottomLeft" state="split"/>
      <selection pane="topLeft" activeCell="K179" sqref="K179"/>
      <selection pane="bottomLeft" activeCell="A247" sqref="A247:IV254"/>
    </sheetView>
  </sheetViews>
  <sheetFormatPr defaultColWidth="9.140625" defaultRowHeight="12.75" outlineLevelRow="6" outlineLevelCol="1"/>
  <cols>
    <col min="1" max="1" width="22.421875" style="403" customWidth="1"/>
    <col min="2" max="2" width="42.28125" style="403" customWidth="1"/>
    <col min="3" max="9" width="10.7109375" style="354" customWidth="1"/>
    <col min="10" max="10" width="10.7109375" style="354" customWidth="1" outlineLevel="1"/>
    <col min="11" max="14" width="10.7109375" style="354" customWidth="1"/>
    <col min="15" max="15" width="5.7109375" style="354" customWidth="1" outlineLevel="1"/>
    <col min="16" max="16" width="7.7109375" style="354" customWidth="1"/>
    <col min="17" max="17" width="8.7109375" style="355" customWidth="1"/>
    <col min="18" max="18" width="8.7109375" style="404" customWidth="1"/>
  </cols>
  <sheetData>
    <row r="1" spans="1:18" ht="15">
      <c r="A1" s="347" t="s">
        <v>713</v>
      </c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51"/>
    </row>
    <row r="2" spans="1:18" ht="12.75">
      <c r="A2" s="352" t="s">
        <v>714</v>
      </c>
      <c r="B2" s="353">
        <v>37607.29769675926</v>
      </c>
      <c r="R2" s="356"/>
    </row>
    <row r="3" spans="1:18" ht="12.75">
      <c r="A3" s="357" t="s">
        <v>1402</v>
      </c>
      <c r="B3" s="358"/>
      <c r="R3" s="356"/>
    </row>
    <row r="4" spans="1:18" ht="12.75">
      <c r="A4" s="352" t="s">
        <v>715</v>
      </c>
      <c r="B4" s="358"/>
      <c r="R4" s="356"/>
    </row>
    <row r="5" spans="1:18" ht="24.75" customHeight="1" thickBot="1">
      <c r="A5" s="359" t="s">
        <v>166</v>
      </c>
      <c r="B5" s="360" t="s">
        <v>1569</v>
      </c>
      <c r="C5" s="361" t="s">
        <v>716</v>
      </c>
      <c r="D5" s="361" t="s">
        <v>717</v>
      </c>
      <c r="E5" s="361" t="s">
        <v>718</v>
      </c>
      <c r="F5" s="361" t="s">
        <v>719</v>
      </c>
      <c r="G5" s="361" t="s">
        <v>720</v>
      </c>
      <c r="H5" s="361" t="s">
        <v>721</v>
      </c>
      <c r="I5" s="361" t="s">
        <v>722</v>
      </c>
      <c r="J5" s="361" t="s">
        <v>723</v>
      </c>
      <c r="K5" s="361" t="s">
        <v>724</v>
      </c>
      <c r="L5" s="361" t="s">
        <v>725</v>
      </c>
      <c r="M5" s="362" t="s">
        <v>726</v>
      </c>
      <c r="N5" s="362" t="s">
        <v>727</v>
      </c>
      <c r="O5" s="362" t="s">
        <v>728</v>
      </c>
      <c r="P5" s="362" t="s">
        <v>729</v>
      </c>
      <c r="Q5" s="363" t="s">
        <v>205</v>
      </c>
      <c r="R5" s="364" t="s">
        <v>730</v>
      </c>
    </row>
    <row r="6" spans="1:18" ht="13.5" thickTop="1">
      <c r="A6" s="365">
        <v>2</v>
      </c>
      <c r="B6" s="366" t="s">
        <v>170</v>
      </c>
      <c r="C6" s="367" t="e">
        <f>0+C7+C140+C175+#REF!+C212</f>
        <v>#REF!</v>
      </c>
      <c r="D6" s="367" t="e">
        <f>0+D7+D140+D175+#REF!+D212</f>
        <v>#REF!</v>
      </c>
      <c r="E6" s="367" t="e">
        <f>0+E7+E140+E175+#REF!+E212</f>
        <v>#REF!</v>
      </c>
      <c r="F6" s="367" t="e">
        <f>414026.3125+F7+F140+F175+#REF!+F212</f>
        <v>#REF!</v>
      </c>
      <c r="G6" s="367" t="e">
        <f>F6+E6</f>
        <v>#REF!</v>
      </c>
      <c r="H6" s="367" t="e">
        <f>D6-C6</f>
        <v>#REF!</v>
      </c>
      <c r="I6" s="367" t="e">
        <f>D6-E6</f>
        <v>#REF!</v>
      </c>
      <c r="J6" s="367" t="e">
        <f>+J7+J140+J175+#REF!+J212</f>
        <v>#REF!</v>
      </c>
      <c r="K6" s="367" t="e">
        <f>+K7+K140+K175+#REF!+K212</f>
        <v>#REF!</v>
      </c>
      <c r="L6" s="367" t="e">
        <f>+L7+L140+L175+#REF!+L212</f>
        <v>#REF!</v>
      </c>
      <c r="M6" s="367" t="e">
        <f aca="true" t="shared" si="0" ref="M6:M12">K6-L6</f>
        <v>#REF!</v>
      </c>
      <c r="N6" s="367" t="s">
        <v>731</v>
      </c>
      <c r="O6" s="367" t="s">
        <v>732</v>
      </c>
      <c r="P6" s="367">
        <v>24</v>
      </c>
      <c r="Q6" s="368">
        <v>39030.333333333336</v>
      </c>
      <c r="R6" s="369"/>
    </row>
    <row r="7" spans="1:18" ht="12.75" outlineLevel="1">
      <c r="A7" s="370">
        <v>2.1</v>
      </c>
      <c r="B7" s="371" t="s">
        <v>172</v>
      </c>
      <c r="C7" s="372" t="e">
        <f>0+#REF!+#REF!+#REF!+#REF!+#REF!+#REF!+C8+#REF!+#REF!+#REF!</f>
        <v>#REF!</v>
      </c>
      <c r="D7" s="372" t="e">
        <f>0+#REF!+#REF!+#REF!+#REF!+#REF!+#REF!+D8+#REF!+#REF!+#REF!</f>
        <v>#REF!</v>
      </c>
      <c r="E7" s="372" t="e">
        <f>0+#REF!+#REF!+#REF!+#REF!+#REF!+#REF!+E8+#REF!+#REF!+#REF!</f>
        <v>#REF!</v>
      </c>
      <c r="F7" s="372" t="e">
        <f>0+#REF!+#REF!+#REF!+#REF!+#REF!+#REF!+F8+#REF!+#REF!+#REF!</f>
        <v>#REF!</v>
      </c>
      <c r="G7" s="372" t="e">
        <f>F7+E7</f>
        <v>#REF!</v>
      </c>
      <c r="H7" s="372" t="e">
        <f>D7-C7</f>
        <v>#REF!</v>
      </c>
      <c r="I7" s="372" t="e">
        <f>D7-E7</f>
        <v>#REF!</v>
      </c>
      <c r="J7" s="372" t="e">
        <f>+#REF!+#REF!+#REF!+#REF!+#REF!+#REF!+J8+#REF!+#REF!+#REF!</f>
        <v>#REF!</v>
      </c>
      <c r="K7" s="372" t="e">
        <f>+#REF!+#REF!+#REF!+#REF!+#REF!+#REF!+K8+#REF!+#REF!+#REF!</f>
        <v>#REF!</v>
      </c>
      <c r="L7" s="372" t="e">
        <f>+#REF!+#REF!+#REF!+#REF!+#REF!+#REF!+L8+#REF!+#REF!+#REF!</f>
        <v>#REF!</v>
      </c>
      <c r="M7" s="372" t="e">
        <f t="shared" si="0"/>
        <v>#REF!</v>
      </c>
      <c r="N7" s="372" t="s">
        <v>731</v>
      </c>
      <c r="O7" s="372" t="s">
        <v>732</v>
      </c>
      <c r="P7" s="372">
        <v>34</v>
      </c>
      <c r="Q7" s="373">
        <v>38748.333333333336</v>
      </c>
      <c r="R7" s="374"/>
    </row>
    <row r="8" spans="1:18" ht="12.75" outlineLevel="2">
      <c r="A8" s="375" t="s">
        <v>1774</v>
      </c>
      <c r="B8" s="376" t="s">
        <v>1775</v>
      </c>
      <c r="C8" s="377">
        <f>0+C9+C27+C31+C52+C56+C60+C64+C67+C70+C74+C91+C120+C130+C134</f>
        <v>1729992.6640625</v>
      </c>
      <c r="D8" s="377">
        <f>0+D9+D27+D31+D52+D56+D60+D64+D67+D70+D74+D91+D120+D130+D134</f>
        <v>1078016.9833984375</v>
      </c>
      <c r="E8" s="377">
        <f>0+E9+E27+E31+E52+E56+E60+E64+E67+E70+E74+E91+E120+E130+E134</f>
        <v>670718.3367614746</v>
      </c>
      <c r="F8" s="377">
        <f>0+F9+F27+F31+F52+F56+F60+F64+F67+F70+F74+F91+F120+F130+F134</f>
        <v>913529.2999999999</v>
      </c>
      <c r="G8" s="377">
        <f>F8+E8</f>
        <v>1584247.6367614744</v>
      </c>
      <c r="H8" s="377">
        <f>D8-C8</f>
        <v>-651975.6806640625</v>
      </c>
      <c r="I8" s="377">
        <f>D8-E8</f>
        <v>407298.6466369629</v>
      </c>
      <c r="J8" s="377">
        <f>+J9+J27+J31+J52+J56+J60+J64+J67+J70+J74+J91+J120+J130+J134</f>
        <v>2389440.7199999997</v>
      </c>
      <c r="K8" s="377">
        <f>+K9+K27+K31+K52+K56+K60+K64+K67+K70+K74+K91+K120+K130+K134</f>
        <v>2493768.668656774</v>
      </c>
      <c r="L8" s="377">
        <f>+L9+L27+L31+L52+L56+L60+L64+L67+L70+L74+L91+L120+L130+L134</f>
        <v>2322006.594971466</v>
      </c>
      <c r="M8" s="377">
        <f t="shared" si="0"/>
        <v>171762.073685308</v>
      </c>
      <c r="N8" s="377" t="s">
        <v>768</v>
      </c>
      <c r="O8" s="377" t="s">
        <v>732</v>
      </c>
      <c r="P8" s="377">
        <v>45</v>
      </c>
      <c r="Q8" s="378">
        <v>38748.333333333336</v>
      </c>
      <c r="R8" s="379"/>
    </row>
    <row r="9" spans="1:18" ht="12.75" outlineLevel="3" collapsed="1">
      <c r="A9" s="380" t="s">
        <v>1776</v>
      </c>
      <c r="B9" s="381" t="s">
        <v>1777</v>
      </c>
      <c r="C9" s="382">
        <f>0+C10+C26</f>
        <v>240556.5234375</v>
      </c>
      <c r="D9" s="382">
        <f>0+D10+D26</f>
        <v>230037.66796875</v>
      </c>
      <c r="E9" s="382">
        <f>0+E10+E26</f>
        <v>129346.6171875</v>
      </c>
      <c r="F9" s="382">
        <f>0+F10+F26</f>
        <v>415918.4</v>
      </c>
      <c r="G9" s="382">
        <f>F9+E9</f>
        <v>545265.0171875</v>
      </c>
      <c r="H9" s="382">
        <f>D9-C9</f>
        <v>-10518.85546875</v>
      </c>
      <c r="I9" s="382">
        <f>D9-E9</f>
        <v>100691.05078125</v>
      </c>
      <c r="J9" s="382">
        <f>+J10+J26</f>
        <v>617437.2</v>
      </c>
      <c r="K9" s="382">
        <f>+K10+K26</f>
        <v>652121.204577446</v>
      </c>
      <c r="L9" s="382">
        <f>+L10+L26</f>
        <v>586306.9773741718</v>
      </c>
      <c r="M9" s="382">
        <f t="shared" si="0"/>
        <v>65814.22720327415</v>
      </c>
      <c r="N9" s="382" t="s">
        <v>768</v>
      </c>
      <c r="O9" s="382" t="s">
        <v>732</v>
      </c>
      <c r="P9" s="382">
        <v>99</v>
      </c>
      <c r="Q9" s="383">
        <v>37942.360347222224</v>
      </c>
      <c r="R9" s="384"/>
    </row>
    <row r="10" spans="1:18" ht="12.75" hidden="1" outlineLevel="4">
      <c r="A10" s="391" t="s">
        <v>1571</v>
      </c>
      <c r="B10" s="392" t="s">
        <v>1572</v>
      </c>
      <c r="C10" s="382">
        <f>0+C11+C12+C15+C18+C21</f>
        <v>240556.5234375</v>
      </c>
      <c r="D10" s="382">
        <f>0+D11+D12+D15+D18+D21</f>
        <v>230037.66796875</v>
      </c>
      <c r="E10" s="382">
        <f>0+E11+E12+E15+E18+E21</f>
        <v>129346.6171875</v>
      </c>
      <c r="F10" s="382">
        <f>0+F11+F12+F15+F18+F21</f>
        <v>415918.4</v>
      </c>
      <c r="G10" s="382">
        <f>F10+E10</f>
        <v>545265.0171875</v>
      </c>
      <c r="H10" s="382">
        <f>D10-C10</f>
        <v>-10518.85546875</v>
      </c>
      <c r="I10" s="382">
        <f>D10-E10</f>
        <v>100691.05078125</v>
      </c>
      <c r="J10" s="382">
        <f>+J11+J12+J15+J18+J21</f>
        <v>617437.2</v>
      </c>
      <c r="K10" s="382">
        <f>+K11+K12+K15+K18+K21</f>
        <v>652121.204577446</v>
      </c>
      <c r="L10" s="382">
        <f>+L11+L12+L15+L18+L21</f>
        <v>586306.9773741718</v>
      </c>
      <c r="M10" s="382">
        <f t="shared" si="0"/>
        <v>65814.22720327415</v>
      </c>
      <c r="N10" s="382" t="s">
        <v>768</v>
      </c>
      <c r="O10" s="382" t="s">
        <v>732</v>
      </c>
      <c r="P10" s="382">
        <v>93</v>
      </c>
      <c r="Q10" s="383">
        <v>37942.360347222224</v>
      </c>
      <c r="R10" s="384"/>
    </row>
    <row r="11" spans="1:18" ht="12.75" hidden="1" outlineLevel="5">
      <c r="A11" s="393" t="s">
        <v>187</v>
      </c>
      <c r="B11" s="394" t="s">
        <v>1779</v>
      </c>
      <c r="C11" s="387">
        <v>6964.0703125</v>
      </c>
      <c r="D11" s="387">
        <v>6964.0703125</v>
      </c>
      <c r="E11" s="387">
        <v>4219.08984375</v>
      </c>
      <c r="F11" s="387">
        <v>0</v>
      </c>
      <c r="G11" s="387">
        <v>4219.08984375</v>
      </c>
      <c r="H11" s="387">
        <v>0</v>
      </c>
      <c r="I11" s="387">
        <v>2744.98046875</v>
      </c>
      <c r="J11" s="387">
        <v>6720</v>
      </c>
      <c r="K11" s="387">
        <v>6964.070205688477</v>
      </c>
      <c r="L11" s="387">
        <v>4219.08984375</v>
      </c>
      <c r="M11" s="387">
        <f t="shared" si="0"/>
        <v>2744.9803619384766</v>
      </c>
      <c r="N11" s="387" t="s">
        <v>736</v>
      </c>
      <c r="O11" s="387" t="s">
        <v>732</v>
      </c>
      <c r="P11" s="387">
        <v>100</v>
      </c>
      <c r="Q11" s="388">
        <v>36418.708333333336</v>
      </c>
      <c r="R11" s="389" t="s">
        <v>733</v>
      </c>
    </row>
    <row r="12" spans="1:18" ht="12.75" hidden="1" outlineLevel="5">
      <c r="A12" s="396" t="s">
        <v>188</v>
      </c>
      <c r="B12" s="397" t="s">
        <v>1781</v>
      </c>
      <c r="C12" s="382">
        <f>0+C13+C14</f>
        <v>58884</v>
      </c>
      <c r="D12" s="382">
        <f>0+D13+D14</f>
        <v>58884</v>
      </c>
      <c r="E12" s="382">
        <f>21585.080078125+E13+E14</f>
        <v>21585.080078125</v>
      </c>
      <c r="F12" s="382">
        <f>35010.85+F13+F14</f>
        <v>35010.85</v>
      </c>
      <c r="G12" s="382">
        <f>F12+E12</f>
        <v>56595.930078125</v>
      </c>
      <c r="H12" s="382">
        <f>D12-C12</f>
        <v>0</v>
      </c>
      <c r="I12" s="382">
        <f>D12-E12</f>
        <v>37298.919921875</v>
      </c>
      <c r="J12" s="382">
        <f>+J13+J14</f>
        <v>58884</v>
      </c>
      <c r="K12" s="382">
        <f>+K13+K14</f>
        <v>58884</v>
      </c>
      <c r="L12" s="382">
        <v>21585.080078125</v>
      </c>
      <c r="M12" s="382">
        <f t="shared" si="0"/>
        <v>37298.919921875</v>
      </c>
      <c r="N12" s="382" t="s">
        <v>768</v>
      </c>
      <c r="O12" s="382" t="s">
        <v>732</v>
      </c>
      <c r="P12" s="382">
        <v>100</v>
      </c>
      <c r="Q12" s="383">
        <v>36756.708333333336</v>
      </c>
      <c r="R12" s="400" t="s">
        <v>733</v>
      </c>
    </row>
    <row r="13" spans="1:18" ht="12.75" hidden="1" outlineLevel="6">
      <c r="A13" s="398" t="s">
        <v>189</v>
      </c>
      <c r="B13" s="399" t="s">
        <v>1782</v>
      </c>
      <c r="C13" s="387">
        <v>40584</v>
      </c>
      <c r="D13" s="387">
        <v>40584</v>
      </c>
      <c r="E13" s="387">
        <v>0</v>
      </c>
      <c r="F13" s="387">
        <v>0</v>
      </c>
      <c r="G13" s="387">
        <v>0</v>
      </c>
      <c r="H13" s="387">
        <v>0</v>
      </c>
      <c r="I13" s="387">
        <v>40584</v>
      </c>
      <c r="J13" s="387">
        <v>40584</v>
      </c>
      <c r="K13" s="387">
        <v>40584</v>
      </c>
      <c r="L13" s="387"/>
      <c r="M13" s="387"/>
      <c r="N13" s="387" t="s">
        <v>736</v>
      </c>
      <c r="O13" s="387" t="s">
        <v>732</v>
      </c>
      <c r="P13" s="387">
        <v>100</v>
      </c>
      <c r="Q13" s="388">
        <v>36756.708333333336</v>
      </c>
      <c r="R13" s="389" t="s">
        <v>733</v>
      </c>
    </row>
    <row r="14" spans="1:18" ht="12.75" hidden="1" outlineLevel="6">
      <c r="A14" s="398" t="s">
        <v>190</v>
      </c>
      <c r="B14" s="399" t="s">
        <v>1783</v>
      </c>
      <c r="C14" s="387">
        <v>18300</v>
      </c>
      <c r="D14" s="387">
        <v>18300</v>
      </c>
      <c r="E14" s="387">
        <v>0</v>
      </c>
      <c r="F14" s="387">
        <v>0</v>
      </c>
      <c r="G14" s="387">
        <v>0</v>
      </c>
      <c r="H14" s="387">
        <v>0</v>
      </c>
      <c r="I14" s="387">
        <v>18300</v>
      </c>
      <c r="J14" s="387">
        <v>18300</v>
      </c>
      <c r="K14" s="387">
        <v>18300</v>
      </c>
      <c r="L14" s="387"/>
      <c r="M14" s="387"/>
      <c r="N14" s="387" t="s">
        <v>736</v>
      </c>
      <c r="O14" s="387" t="s">
        <v>732</v>
      </c>
      <c r="P14" s="387">
        <v>100</v>
      </c>
      <c r="Q14" s="388">
        <v>36700.708333333336</v>
      </c>
      <c r="R14" s="389" t="s">
        <v>733</v>
      </c>
    </row>
    <row r="15" spans="1:18" ht="12.75" hidden="1" outlineLevel="5">
      <c r="A15" s="396" t="s">
        <v>191</v>
      </c>
      <c r="B15" s="397" t="s">
        <v>1784</v>
      </c>
      <c r="C15" s="382">
        <f>0+C16+C17</f>
        <v>101081.171875</v>
      </c>
      <c r="D15" s="382">
        <f>0+D16+D17</f>
        <v>101081.171875</v>
      </c>
      <c r="E15" s="382">
        <f>75473.7265625+E16+E17</f>
        <v>75473.7265625</v>
      </c>
      <c r="F15" s="382">
        <f>25785.27+F16+F17</f>
        <v>25785.27</v>
      </c>
      <c r="G15" s="382">
        <f>F15+E15</f>
        <v>101258.9965625</v>
      </c>
      <c r="H15" s="382">
        <f>D15-C15</f>
        <v>0</v>
      </c>
      <c r="I15" s="382">
        <f>D15-E15</f>
        <v>25607.4453125</v>
      </c>
      <c r="J15" s="382">
        <f>+J16+J17</f>
        <v>98520</v>
      </c>
      <c r="K15" s="382">
        <f>+K16+K17</f>
        <v>101081.17149353027</v>
      </c>
      <c r="L15" s="382">
        <v>75473.7265625</v>
      </c>
      <c r="M15" s="382">
        <f>K15-L15</f>
        <v>25607.444931030273</v>
      </c>
      <c r="N15" s="382" t="s">
        <v>768</v>
      </c>
      <c r="O15" s="382" t="s">
        <v>732</v>
      </c>
      <c r="P15" s="382">
        <v>100</v>
      </c>
      <c r="Q15" s="383">
        <v>37180.708333333336</v>
      </c>
      <c r="R15" s="400" t="s">
        <v>733</v>
      </c>
    </row>
    <row r="16" spans="1:18" ht="12.75" hidden="1" outlineLevel="6">
      <c r="A16" s="398" t="s">
        <v>192</v>
      </c>
      <c r="B16" s="399" t="s">
        <v>1785</v>
      </c>
      <c r="C16" s="387">
        <v>70331.171875</v>
      </c>
      <c r="D16" s="387">
        <v>70331.171875</v>
      </c>
      <c r="E16" s="387">
        <v>0</v>
      </c>
      <c r="F16" s="387">
        <v>0</v>
      </c>
      <c r="G16" s="387">
        <v>0</v>
      </c>
      <c r="H16" s="387">
        <v>0</v>
      </c>
      <c r="I16" s="387">
        <v>70331.171875</v>
      </c>
      <c r="J16" s="387">
        <v>68520</v>
      </c>
      <c r="K16" s="387">
        <v>70331.17220878601</v>
      </c>
      <c r="L16" s="387"/>
      <c r="M16" s="387"/>
      <c r="N16" s="387" t="s">
        <v>736</v>
      </c>
      <c r="O16" s="387" t="s">
        <v>732</v>
      </c>
      <c r="P16" s="387">
        <v>100</v>
      </c>
      <c r="Q16" s="388">
        <v>37180.708333333336</v>
      </c>
      <c r="R16" s="389" t="s">
        <v>733</v>
      </c>
    </row>
    <row r="17" spans="1:18" ht="12.75" hidden="1" outlineLevel="6">
      <c r="A17" s="398" t="s">
        <v>193</v>
      </c>
      <c r="B17" s="399" t="s">
        <v>1786</v>
      </c>
      <c r="C17" s="387">
        <v>30750</v>
      </c>
      <c r="D17" s="387">
        <v>30750</v>
      </c>
      <c r="E17" s="387">
        <v>0</v>
      </c>
      <c r="F17" s="387">
        <v>0</v>
      </c>
      <c r="G17" s="387">
        <v>0</v>
      </c>
      <c r="H17" s="387">
        <v>0</v>
      </c>
      <c r="I17" s="387">
        <v>30750</v>
      </c>
      <c r="J17" s="387">
        <v>30000</v>
      </c>
      <c r="K17" s="387">
        <v>30749.999284744263</v>
      </c>
      <c r="L17" s="387"/>
      <c r="M17" s="387"/>
      <c r="N17" s="387" t="s">
        <v>736</v>
      </c>
      <c r="O17" s="387" t="s">
        <v>732</v>
      </c>
      <c r="P17" s="387">
        <v>100</v>
      </c>
      <c r="Q17" s="388">
        <v>36948.46666666667</v>
      </c>
      <c r="R17" s="389" t="s">
        <v>733</v>
      </c>
    </row>
    <row r="18" spans="1:18" ht="12.75" hidden="1" outlineLevel="5">
      <c r="A18" s="396" t="s">
        <v>194</v>
      </c>
      <c r="B18" s="397" t="s">
        <v>1787</v>
      </c>
      <c r="C18" s="382">
        <f>0+C19+C20</f>
        <v>73627.28125</v>
      </c>
      <c r="D18" s="382">
        <f>0+D19+D20</f>
        <v>63108.42578125</v>
      </c>
      <c r="E18" s="382">
        <f>28068.720703125+E19+E20</f>
        <v>28068.720703125</v>
      </c>
      <c r="F18" s="382">
        <f>45558.28+F19+F20</f>
        <v>45558.28</v>
      </c>
      <c r="G18" s="382">
        <f>F18+E18</f>
        <v>73627.000703125</v>
      </c>
      <c r="H18" s="382">
        <f>D18-C18</f>
        <v>-10518.85546875</v>
      </c>
      <c r="I18" s="382">
        <f>D18-E18</f>
        <v>35039.705078125</v>
      </c>
      <c r="J18" s="382">
        <f>+J19+J20</f>
        <v>70011.2</v>
      </c>
      <c r="K18" s="382">
        <f>+K19+K20</f>
        <v>73627.28179168701</v>
      </c>
      <c r="L18" s="382">
        <v>71796.8736549378</v>
      </c>
      <c r="M18" s="382">
        <f>K18-L18</f>
        <v>1830.408136749218</v>
      </c>
      <c r="N18" s="382" t="s">
        <v>768</v>
      </c>
      <c r="O18" s="382" t="s">
        <v>732</v>
      </c>
      <c r="P18" s="382">
        <v>93</v>
      </c>
      <c r="Q18" s="383">
        <v>37455.708333333336</v>
      </c>
      <c r="R18" s="384"/>
    </row>
    <row r="19" spans="1:18" ht="12.75" hidden="1" outlineLevel="6">
      <c r="A19" s="398" t="s">
        <v>195</v>
      </c>
      <c r="B19" s="399" t="s">
        <v>1788</v>
      </c>
      <c r="C19" s="387">
        <v>52594.28125</v>
      </c>
      <c r="D19" s="387">
        <v>42075.42578125</v>
      </c>
      <c r="E19" s="387">
        <v>0</v>
      </c>
      <c r="F19" s="387">
        <v>0</v>
      </c>
      <c r="G19" s="387">
        <v>0</v>
      </c>
      <c r="H19" s="387">
        <v>-10518.85546875</v>
      </c>
      <c r="I19" s="387">
        <v>42075.42578125</v>
      </c>
      <c r="J19" s="387">
        <v>50011.2</v>
      </c>
      <c r="K19" s="387">
        <v>52594.28084564209</v>
      </c>
      <c r="L19" s="387"/>
      <c r="M19" s="387"/>
      <c r="N19" s="387" t="s">
        <v>736</v>
      </c>
      <c r="O19" s="387" t="s">
        <v>732</v>
      </c>
      <c r="P19" s="387">
        <v>80</v>
      </c>
      <c r="Q19" s="388">
        <v>37455.708333333336</v>
      </c>
      <c r="R19" s="390"/>
    </row>
    <row r="20" spans="1:18" ht="12.75" hidden="1" outlineLevel="6">
      <c r="A20" s="398" t="s">
        <v>196</v>
      </c>
      <c r="B20" s="399" t="s">
        <v>1789</v>
      </c>
      <c r="C20" s="387">
        <v>21033</v>
      </c>
      <c r="D20" s="387">
        <v>21033</v>
      </c>
      <c r="E20" s="387">
        <v>0</v>
      </c>
      <c r="F20" s="387">
        <v>0</v>
      </c>
      <c r="G20" s="387">
        <v>0</v>
      </c>
      <c r="H20" s="387">
        <v>0</v>
      </c>
      <c r="I20" s="387">
        <v>21033</v>
      </c>
      <c r="J20" s="387">
        <v>20000</v>
      </c>
      <c r="K20" s="387">
        <v>21033.000946044922</v>
      </c>
      <c r="L20" s="387"/>
      <c r="M20" s="387"/>
      <c r="N20" s="387" t="s">
        <v>736</v>
      </c>
      <c r="O20" s="387" t="s">
        <v>732</v>
      </c>
      <c r="P20" s="387">
        <v>90</v>
      </c>
      <c r="Q20" s="388">
        <v>37455.708333333336</v>
      </c>
      <c r="R20" s="390"/>
    </row>
    <row r="21" spans="1:18" ht="12.75" hidden="1" outlineLevel="5">
      <c r="A21" s="396" t="s">
        <v>197</v>
      </c>
      <c r="B21" s="397" t="s">
        <v>1573</v>
      </c>
      <c r="C21" s="382">
        <f>0+C22+C23+C24+C25</f>
        <v>0</v>
      </c>
      <c r="D21" s="382">
        <f>0+D22+D23+D24+D25</f>
        <v>0</v>
      </c>
      <c r="E21" s="382">
        <f>0+E22+E23+E24+E25</f>
        <v>0</v>
      </c>
      <c r="F21" s="382">
        <f>309564+F22+F23+F24+F25</f>
        <v>309564</v>
      </c>
      <c r="G21" s="382">
        <f>F21+E21</f>
        <v>309564</v>
      </c>
      <c r="H21" s="382">
        <f>D21-C21</f>
        <v>0</v>
      </c>
      <c r="I21" s="382">
        <f>D21-E21</f>
        <v>0</v>
      </c>
      <c r="J21" s="382">
        <f>+J22+J23+J24+J25</f>
        <v>383302</v>
      </c>
      <c r="K21" s="382">
        <f>+K22+K23+K24+K25</f>
        <v>411564.6810865402</v>
      </c>
      <c r="L21" s="382">
        <v>413232.207234859</v>
      </c>
      <c r="M21" s="382">
        <f>K21-L21</f>
        <v>-1667.5261483187787</v>
      </c>
      <c r="N21" s="382" t="s">
        <v>768</v>
      </c>
      <c r="O21" s="382" t="s">
        <v>732</v>
      </c>
      <c r="P21" s="382">
        <v>0</v>
      </c>
      <c r="Q21" s="383">
        <v>37942.360347222224</v>
      </c>
      <c r="R21" s="384"/>
    </row>
    <row r="22" spans="1:18" ht="12.75" hidden="1" outlineLevel="6">
      <c r="A22" s="398" t="s">
        <v>198</v>
      </c>
      <c r="B22" s="399" t="s">
        <v>1791</v>
      </c>
      <c r="C22" s="387">
        <v>0</v>
      </c>
      <c r="D22" s="387">
        <v>0</v>
      </c>
      <c r="E22" s="387">
        <v>0</v>
      </c>
      <c r="F22" s="387">
        <v>0</v>
      </c>
      <c r="G22" s="387">
        <v>0</v>
      </c>
      <c r="H22" s="387">
        <v>0</v>
      </c>
      <c r="I22" s="387">
        <v>0</v>
      </c>
      <c r="J22" s="387">
        <v>270100</v>
      </c>
      <c r="K22" s="387">
        <v>290015.7587528229</v>
      </c>
      <c r="L22" s="387"/>
      <c r="M22" s="387"/>
      <c r="N22" s="387" t="s">
        <v>736</v>
      </c>
      <c r="O22" s="387" t="s">
        <v>732</v>
      </c>
      <c r="P22" s="387">
        <v>0</v>
      </c>
      <c r="Q22" s="388">
        <v>37942.360347222224</v>
      </c>
      <c r="R22" s="390"/>
    </row>
    <row r="23" spans="1:18" ht="12.75" hidden="1" outlineLevel="6">
      <c r="A23" s="398" t="s">
        <v>199</v>
      </c>
      <c r="B23" s="399" t="s">
        <v>1792</v>
      </c>
      <c r="C23" s="387">
        <v>0</v>
      </c>
      <c r="D23" s="387">
        <v>0</v>
      </c>
      <c r="E23" s="387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110052</v>
      </c>
      <c r="K23" s="387">
        <v>118166.65783882141</v>
      </c>
      <c r="L23" s="387"/>
      <c r="M23" s="387"/>
      <c r="N23" s="387" t="s">
        <v>736</v>
      </c>
      <c r="O23" s="387" t="s">
        <v>732</v>
      </c>
      <c r="P23" s="387">
        <v>0</v>
      </c>
      <c r="Q23" s="388">
        <v>37791.708333333336</v>
      </c>
      <c r="R23" s="390"/>
    </row>
    <row r="24" spans="1:18" ht="12.75" hidden="1" outlineLevel="6">
      <c r="A24" s="398" t="s">
        <v>200</v>
      </c>
      <c r="B24" s="399" t="s">
        <v>1793</v>
      </c>
      <c r="C24" s="387">
        <v>0</v>
      </c>
      <c r="D24" s="387">
        <v>0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3150</v>
      </c>
      <c r="K24" s="387">
        <v>3382.264494895935</v>
      </c>
      <c r="L24" s="387"/>
      <c r="M24" s="387"/>
      <c r="N24" s="387" t="s">
        <v>736</v>
      </c>
      <c r="O24" s="387" t="s">
        <v>732</v>
      </c>
      <c r="P24" s="387">
        <v>0</v>
      </c>
      <c r="Q24" s="388">
        <v>37805.708333333336</v>
      </c>
      <c r="R24" s="390"/>
    </row>
    <row r="25" spans="1:18" ht="12.75" hidden="1" outlineLevel="6">
      <c r="A25" s="398" t="s">
        <v>201</v>
      </c>
      <c r="B25" s="399" t="s">
        <v>1795</v>
      </c>
      <c r="C25" s="387">
        <v>0</v>
      </c>
      <c r="D25" s="387">
        <v>0</v>
      </c>
      <c r="E25" s="387">
        <v>0</v>
      </c>
      <c r="F25" s="387">
        <v>0</v>
      </c>
      <c r="G25" s="387">
        <v>0</v>
      </c>
      <c r="H25" s="387">
        <v>0</v>
      </c>
      <c r="I25" s="387">
        <v>0</v>
      </c>
      <c r="J25" s="387">
        <v>0</v>
      </c>
      <c r="K25" s="387">
        <v>0</v>
      </c>
      <c r="L25" s="387"/>
      <c r="M25" s="387"/>
      <c r="N25" s="387" t="s">
        <v>736</v>
      </c>
      <c r="O25" s="387" t="s">
        <v>732</v>
      </c>
      <c r="P25" s="387">
        <v>0</v>
      </c>
      <c r="Q25" s="388">
        <v>37679.708333333336</v>
      </c>
      <c r="R25" s="390"/>
    </row>
    <row r="26" spans="1:18" ht="12.75" hidden="1" outlineLevel="4">
      <c r="A26" s="391" t="s">
        <v>992</v>
      </c>
      <c r="B26" s="392" t="s">
        <v>993</v>
      </c>
      <c r="C26" s="382">
        <v>0</v>
      </c>
      <c r="D26" s="382">
        <v>0</v>
      </c>
      <c r="E26" s="382">
        <v>0</v>
      </c>
      <c r="F26" s="382">
        <v>0</v>
      </c>
      <c r="G26" s="382"/>
      <c r="H26" s="382"/>
      <c r="I26" s="382"/>
      <c r="J26" s="382"/>
      <c r="K26" s="382"/>
      <c r="L26" s="382"/>
      <c r="M26" s="382">
        <f aca="true" t="shared" si="1" ref="M26:M34">K26-L26</f>
        <v>0</v>
      </c>
      <c r="N26" s="382" t="s">
        <v>768</v>
      </c>
      <c r="O26" s="382" t="s">
        <v>732</v>
      </c>
      <c r="P26" s="382">
        <v>100</v>
      </c>
      <c r="Q26" s="383">
        <v>37747.708333333336</v>
      </c>
      <c r="R26" s="384"/>
    </row>
    <row r="27" spans="1:18" ht="12.75" outlineLevel="3" collapsed="1">
      <c r="A27" s="380" t="s">
        <v>994</v>
      </c>
      <c r="B27" s="381" t="s">
        <v>769</v>
      </c>
      <c r="C27" s="382">
        <f>0+C28+C29+C30</f>
        <v>0</v>
      </c>
      <c r="D27" s="382">
        <f>0+D28+D29+D30</f>
        <v>0</v>
      </c>
      <c r="E27" s="382">
        <f>0+E28+E29+E30</f>
        <v>0</v>
      </c>
      <c r="F27" s="382">
        <f>0+F28+F29+F30</f>
        <v>0</v>
      </c>
      <c r="G27" s="382">
        <f>F27+E27</f>
        <v>0</v>
      </c>
      <c r="H27" s="382">
        <f>D27-C27</f>
        <v>0</v>
      </c>
      <c r="I27" s="382">
        <f>D27-E27</f>
        <v>0</v>
      </c>
      <c r="J27" s="382">
        <f>+J28+J29+J30</f>
        <v>0</v>
      </c>
      <c r="K27" s="382">
        <f>+K28+K29+K30</f>
        <v>0</v>
      </c>
      <c r="L27" s="382">
        <f>+L28+L29+L30</f>
        <v>0</v>
      </c>
      <c r="M27" s="382">
        <f t="shared" si="1"/>
        <v>0</v>
      </c>
      <c r="N27" s="382" t="s">
        <v>768</v>
      </c>
      <c r="O27" s="382" t="s">
        <v>732</v>
      </c>
      <c r="P27" s="382">
        <v>100</v>
      </c>
      <c r="Q27" s="383">
        <v>37761.708333333336</v>
      </c>
      <c r="R27" s="384"/>
    </row>
    <row r="28" spans="1:18" ht="12.75" hidden="1" outlineLevel="4">
      <c r="A28" s="391" t="s">
        <v>995</v>
      </c>
      <c r="B28" s="392" t="s">
        <v>996</v>
      </c>
      <c r="C28" s="382">
        <v>0</v>
      </c>
      <c r="D28" s="382">
        <v>0</v>
      </c>
      <c r="E28" s="382">
        <v>0</v>
      </c>
      <c r="F28" s="382">
        <v>0</v>
      </c>
      <c r="G28" s="382"/>
      <c r="H28" s="382"/>
      <c r="I28" s="382"/>
      <c r="J28" s="382"/>
      <c r="K28" s="382"/>
      <c r="L28" s="382"/>
      <c r="M28" s="382">
        <f t="shared" si="1"/>
        <v>0</v>
      </c>
      <c r="N28" s="382" t="s">
        <v>768</v>
      </c>
      <c r="O28" s="382" t="s">
        <v>732</v>
      </c>
      <c r="P28" s="382">
        <v>100</v>
      </c>
      <c r="Q28" s="383">
        <v>36699.708333333336</v>
      </c>
      <c r="R28" s="384"/>
    </row>
    <row r="29" spans="1:18" ht="12.75" hidden="1" outlineLevel="4">
      <c r="A29" s="391" t="s">
        <v>997</v>
      </c>
      <c r="B29" s="392" t="s">
        <v>998</v>
      </c>
      <c r="C29" s="382">
        <v>0</v>
      </c>
      <c r="D29" s="382">
        <v>0</v>
      </c>
      <c r="E29" s="382">
        <v>0</v>
      </c>
      <c r="F29" s="382">
        <v>0</v>
      </c>
      <c r="G29" s="382"/>
      <c r="H29" s="382"/>
      <c r="I29" s="382"/>
      <c r="J29" s="382"/>
      <c r="K29" s="382"/>
      <c r="L29" s="382"/>
      <c r="M29" s="382">
        <f t="shared" si="1"/>
        <v>0</v>
      </c>
      <c r="N29" s="382" t="s">
        <v>768</v>
      </c>
      <c r="O29" s="382" t="s">
        <v>732</v>
      </c>
      <c r="P29" s="382">
        <v>100</v>
      </c>
      <c r="Q29" s="383">
        <v>37134.708333333336</v>
      </c>
      <c r="R29" s="384"/>
    </row>
    <row r="30" spans="1:18" ht="12.75" hidden="1" outlineLevel="4">
      <c r="A30" s="391" t="s">
        <v>999</v>
      </c>
      <c r="B30" s="392" t="s">
        <v>1000</v>
      </c>
      <c r="C30" s="382">
        <v>0</v>
      </c>
      <c r="D30" s="382">
        <v>0</v>
      </c>
      <c r="E30" s="382">
        <v>0</v>
      </c>
      <c r="F30" s="382">
        <v>0</v>
      </c>
      <c r="G30" s="382"/>
      <c r="H30" s="382"/>
      <c r="I30" s="382"/>
      <c r="J30" s="382"/>
      <c r="K30" s="382"/>
      <c r="L30" s="382"/>
      <c r="M30" s="382">
        <f t="shared" si="1"/>
        <v>0</v>
      </c>
      <c r="N30" s="382" t="s">
        <v>768</v>
      </c>
      <c r="O30" s="382" t="s">
        <v>732</v>
      </c>
      <c r="P30" s="382">
        <v>100</v>
      </c>
      <c r="Q30" s="383">
        <v>37761.708333333336</v>
      </c>
      <c r="R30" s="384"/>
    </row>
    <row r="31" spans="1:18" ht="12.75" outlineLevel="3" collapsed="1">
      <c r="A31" s="380" t="s">
        <v>1796</v>
      </c>
      <c r="B31" s="381" t="s">
        <v>1797</v>
      </c>
      <c r="C31" s="382">
        <f>0+C32+C37+C38+C41+C44+C47</f>
        <v>410060.283203125</v>
      </c>
      <c r="D31" s="382">
        <f>0+D32+D37+D38+D41+D44+D47</f>
        <v>219467.57421875</v>
      </c>
      <c r="E31" s="382">
        <f>0+E32+E37+E38+E41+E44+E47</f>
        <v>150496.25692749023</v>
      </c>
      <c r="F31" s="382">
        <f>0+F32+F37+F38+F41+F44+F47</f>
        <v>186418.71</v>
      </c>
      <c r="G31" s="382">
        <f>F31+E31</f>
        <v>336914.9669274902</v>
      </c>
      <c r="H31" s="382">
        <f>D31-C31</f>
        <v>-190592.708984375</v>
      </c>
      <c r="I31" s="382">
        <f>D31-E31</f>
        <v>68971.31729125977</v>
      </c>
      <c r="J31" s="382">
        <f>+J32+J37+J38+J41+J44+J47</f>
        <v>433939.2</v>
      </c>
      <c r="K31" s="382">
        <f>+K32+K37+K38+K41+K44+K47</f>
        <v>448897.88723373413</v>
      </c>
      <c r="L31" s="382">
        <f>+L32+L37+L38+L41+L44+L47</f>
        <v>434334.56789779663</v>
      </c>
      <c r="M31" s="382">
        <f t="shared" si="1"/>
        <v>14563.3193359375</v>
      </c>
      <c r="N31" s="382" t="s">
        <v>770</v>
      </c>
      <c r="O31" s="382" t="s">
        <v>732</v>
      </c>
      <c r="P31" s="382">
        <v>66</v>
      </c>
      <c r="Q31" s="383">
        <v>38030.5</v>
      </c>
      <c r="R31" s="384"/>
    </row>
    <row r="32" spans="1:18" ht="12.75" hidden="1" outlineLevel="4">
      <c r="A32" s="391" t="s">
        <v>1798</v>
      </c>
      <c r="B32" s="392" t="s">
        <v>1801</v>
      </c>
      <c r="C32" s="382">
        <f>0+C33+C34+C36</f>
        <v>56412</v>
      </c>
      <c r="D32" s="382">
        <f>0+D33+D34+D36</f>
        <v>56412</v>
      </c>
      <c r="E32" s="382">
        <f>0+E33+E34+E36</f>
        <v>60849.1201171875</v>
      </c>
      <c r="F32" s="382">
        <f>0+F33+F34+F36</f>
        <v>29122.76</v>
      </c>
      <c r="G32" s="382">
        <f>F32+E32</f>
        <v>89971.8801171875</v>
      </c>
      <c r="H32" s="382">
        <f>D32-C32</f>
        <v>0</v>
      </c>
      <c r="I32" s="382">
        <f>D32-E32</f>
        <v>-4437.1201171875</v>
      </c>
      <c r="J32" s="382">
        <f>+J33+J34+J36</f>
        <v>56412</v>
      </c>
      <c r="K32" s="382">
        <f>+K33+K34+K36</f>
        <v>56412</v>
      </c>
      <c r="L32" s="382">
        <f>+L33+L34+L36</f>
        <v>60849.1201171875</v>
      </c>
      <c r="M32" s="382">
        <f t="shared" si="1"/>
        <v>-4437.1201171875</v>
      </c>
      <c r="N32" s="382" t="s">
        <v>737</v>
      </c>
      <c r="O32" s="382" t="s">
        <v>732</v>
      </c>
      <c r="P32" s="382">
        <v>100</v>
      </c>
      <c r="Q32" s="383">
        <v>37890.708333333336</v>
      </c>
      <c r="R32" s="384"/>
    </row>
    <row r="33" spans="1:18" ht="12.75" hidden="1" outlineLevel="5">
      <c r="A33" s="393" t="s">
        <v>771</v>
      </c>
      <c r="B33" s="394" t="s">
        <v>772</v>
      </c>
      <c r="C33" s="387">
        <v>0</v>
      </c>
      <c r="D33" s="387">
        <v>0</v>
      </c>
      <c r="E33" s="387">
        <v>5179.5498046875</v>
      </c>
      <c r="F33" s="387">
        <v>0</v>
      </c>
      <c r="G33" s="387">
        <v>5179.5498046875</v>
      </c>
      <c r="H33" s="387">
        <v>0</v>
      </c>
      <c r="I33" s="387">
        <v>-5179.5498046875</v>
      </c>
      <c r="J33" s="387"/>
      <c r="K33" s="387"/>
      <c r="L33" s="387">
        <v>5179.5498046875</v>
      </c>
      <c r="M33" s="387">
        <f t="shared" si="1"/>
        <v>-5179.5498046875</v>
      </c>
      <c r="N33" s="387" t="s">
        <v>737</v>
      </c>
      <c r="O33" s="387" t="s">
        <v>732</v>
      </c>
      <c r="P33" s="387">
        <v>100</v>
      </c>
      <c r="Q33" s="388">
        <v>36406.708333333336</v>
      </c>
      <c r="R33" s="390" t="s">
        <v>734</v>
      </c>
    </row>
    <row r="34" spans="1:18" ht="12.75" hidden="1" outlineLevel="5">
      <c r="A34" s="396" t="s">
        <v>773</v>
      </c>
      <c r="B34" s="397" t="s">
        <v>774</v>
      </c>
      <c r="C34" s="382">
        <f>0+C35</f>
        <v>56412</v>
      </c>
      <c r="D34" s="382">
        <f>0+D35</f>
        <v>56412</v>
      </c>
      <c r="E34" s="382">
        <f>55669.5703125+E35</f>
        <v>55669.5703125</v>
      </c>
      <c r="F34" s="382">
        <f>29122.76+F35</f>
        <v>29122.76</v>
      </c>
      <c r="G34" s="382">
        <f>F34+E34</f>
        <v>84792.3303125</v>
      </c>
      <c r="H34" s="382">
        <f>D34-C34</f>
        <v>0</v>
      </c>
      <c r="I34" s="382">
        <f>D34-E34</f>
        <v>742.4296875</v>
      </c>
      <c r="J34" s="382">
        <f>+J35</f>
        <v>56412</v>
      </c>
      <c r="K34" s="382">
        <f>+K35</f>
        <v>56412</v>
      </c>
      <c r="L34" s="382">
        <v>55669.5703125</v>
      </c>
      <c r="M34" s="382">
        <f t="shared" si="1"/>
        <v>742.4296875</v>
      </c>
      <c r="N34" s="382" t="s">
        <v>770</v>
      </c>
      <c r="O34" s="382" t="s">
        <v>732</v>
      </c>
      <c r="P34" s="382">
        <v>100</v>
      </c>
      <c r="Q34" s="383">
        <v>36622.708333333336</v>
      </c>
      <c r="R34" s="400" t="s">
        <v>733</v>
      </c>
    </row>
    <row r="35" spans="1:18" ht="12.75" hidden="1" outlineLevel="6">
      <c r="A35" s="398" t="s">
        <v>775</v>
      </c>
      <c r="B35" s="399" t="s">
        <v>776</v>
      </c>
      <c r="C35" s="387">
        <v>56412</v>
      </c>
      <c r="D35" s="387">
        <v>56412</v>
      </c>
      <c r="E35" s="387">
        <v>0</v>
      </c>
      <c r="F35" s="387">
        <v>0</v>
      </c>
      <c r="G35" s="387">
        <v>0</v>
      </c>
      <c r="H35" s="387">
        <v>0</v>
      </c>
      <c r="I35" s="387">
        <v>56412</v>
      </c>
      <c r="J35" s="387">
        <v>56412</v>
      </c>
      <c r="K35" s="387">
        <v>56412</v>
      </c>
      <c r="L35" s="387"/>
      <c r="M35" s="387"/>
      <c r="N35" s="387" t="s">
        <v>737</v>
      </c>
      <c r="O35" s="387" t="s">
        <v>732</v>
      </c>
      <c r="P35" s="387">
        <v>100</v>
      </c>
      <c r="Q35" s="388">
        <v>36622.708333333336</v>
      </c>
      <c r="R35" s="389" t="s">
        <v>733</v>
      </c>
    </row>
    <row r="36" spans="1:18" ht="12.75" hidden="1" outlineLevel="5">
      <c r="A36" s="396" t="s">
        <v>777</v>
      </c>
      <c r="B36" s="397" t="s">
        <v>778</v>
      </c>
      <c r="C36" s="382">
        <v>0</v>
      </c>
      <c r="D36" s="382">
        <v>0</v>
      </c>
      <c r="E36" s="382">
        <v>0</v>
      </c>
      <c r="F36" s="382">
        <v>0</v>
      </c>
      <c r="G36" s="382"/>
      <c r="H36" s="382"/>
      <c r="I36" s="382"/>
      <c r="J36" s="382"/>
      <c r="K36" s="382"/>
      <c r="L36" s="382"/>
      <c r="M36" s="382">
        <f>K36-L36</f>
        <v>0</v>
      </c>
      <c r="N36" s="382" t="s">
        <v>770</v>
      </c>
      <c r="O36" s="382" t="s">
        <v>732</v>
      </c>
      <c r="P36" s="382">
        <v>100</v>
      </c>
      <c r="Q36" s="383">
        <v>37890.708333333336</v>
      </c>
      <c r="R36" s="384"/>
    </row>
    <row r="37" spans="1:18" ht="12.75" hidden="1" outlineLevel="4">
      <c r="A37" s="391" t="s">
        <v>1800</v>
      </c>
      <c r="B37" s="392" t="s">
        <v>779</v>
      </c>
      <c r="C37" s="382">
        <v>0</v>
      </c>
      <c r="D37" s="382">
        <v>0</v>
      </c>
      <c r="E37" s="382">
        <v>0</v>
      </c>
      <c r="F37" s="382">
        <v>0</v>
      </c>
      <c r="G37" s="382"/>
      <c r="H37" s="382"/>
      <c r="I37" s="382"/>
      <c r="J37" s="382"/>
      <c r="K37" s="382"/>
      <c r="L37" s="382"/>
      <c r="M37" s="382">
        <f>K37-L37</f>
        <v>0</v>
      </c>
      <c r="N37" s="382" t="s">
        <v>770</v>
      </c>
      <c r="O37" s="382" t="s">
        <v>732</v>
      </c>
      <c r="P37" s="382">
        <v>100</v>
      </c>
      <c r="Q37" s="383">
        <v>35802.708333333336</v>
      </c>
      <c r="R37" s="384"/>
    </row>
    <row r="38" spans="1:18" ht="12.75" hidden="1" outlineLevel="4">
      <c r="A38" s="391" t="s">
        <v>1803</v>
      </c>
      <c r="B38" s="392" t="s">
        <v>1804</v>
      </c>
      <c r="C38" s="382">
        <f>0+C39+C40</f>
        <v>77837.59765625</v>
      </c>
      <c r="D38" s="382">
        <f>0+D39+D40</f>
        <v>77837.59765625</v>
      </c>
      <c r="E38" s="382">
        <f>0+E39+E40</f>
        <v>87690.966796875</v>
      </c>
      <c r="F38" s="382">
        <f>0+F39+F40</f>
        <v>6687.95</v>
      </c>
      <c r="G38" s="382">
        <f>F38+E38</f>
        <v>94378.916796875</v>
      </c>
      <c r="H38" s="382">
        <f>D38-C38</f>
        <v>0</v>
      </c>
      <c r="I38" s="382">
        <f>D38-E38</f>
        <v>-9853.369140625</v>
      </c>
      <c r="J38" s="382">
        <f>+J39+J40</f>
        <v>113480</v>
      </c>
      <c r="K38" s="382">
        <f>+K39+K40</f>
        <v>116675.19836425781</v>
      </c>
      <c r="L38" s="382">
        <f>+L39+L40</f>
        <v>97674.75891113281</v>
      </c>
      <c r="M38" s="382">
        <f>K38-L38</f>
        <v>19000.439453125</v>
      </c>
      <c r="N38" s="382" t="s">
        <v>770</v>
      </c>
      <c r="O38" s="382" t="s">
        <v>732</v>
      </c>
      <c r="P38" s="382">
        <v>100</v>
      </c>
      <c r="Q38" s="383">
        <v>38030.5</v>
      </c>
      <c r="R38" s="384"/>
    </row>
    <row r="39" spans="1:18" ht="12.75" hidden="1" outlineLevel="5">
      <c r="A39" s="393" t="s">
        <v>1805</v>
      </c>
      <c r="B39" s="394" t="s">
        <v>1806</v>
      </c>
      <c r="C39" s="387">
        <v>38837.59765625</v>
      </c>
      <c r="D39" s="387">
        <v>38837.59765625</v>
      </c>
      <c r="E39" s="387">
        <v>67691.40625</v>
      </c>
      <c r="F39" s="387">
        <v>6687.95</v>
      </c>
      <c r="G39" s="387">
        <v>74379.35625</v>
      </c>
      <c r="H39" s="387">
        <v>0</v>
      </c>
      <c r="I39" s="387">
        <v>-28853.80859375</v>
      </c>
      <c r="J39" s="387">
        <v>74480</v>
      </c>
      <c r="K39" s="387">
        <v>77675.19836425781</v>
      </c>
      <c r="L39" s="387">
        <v>77675.19836425781</v>
      </c>
      <c r="M39" s="387"/>
      <c r="N39" s="387" t="s">
        <v>737</v>
      </c>
      <c r="O39" s="387" t="s">
        <v>732</v>
      </c>
      <c r="P39" s="387">
        <v>100</v>
      </c>
      <c r="Q39" s="388">
        <v>38030.5</v>
      </c>
      <c r="R39" s="390"/>
    </row>
    <row r="40" spans="1:18" ht="12.75" hidden="1" outlineLevel="5">
      <c r="A40" s="393" t="s">
        <v>1809</v>
      </c>
      <c r="B40" s="394" t="s">
        <v>1810</v>
      </c>
      <c r="C40" s="387">
        <v>39000</v>
      </c>
      <c r="D40" s="387">
        <v>39000</v>
      </c>
      <c r="E40" s="387">
        <v>19999.560546875</v>
      </c>
      <c r="F40" s="387">
        <v>0</v>
      </c>
      <c r="G40" s="387">
        <v>19999.560546875</v>
      </c>
      <c r="H40" s="387">
        <v>0</v>
      </c>
      <c r="I40" s="387">
        <v>19000.439453125</v>
      </c>
      <c r="J40" s="387">
        <v>39000</v>
      </c>
      <c r="K40" s="387">
        <v>39000</v>
      </c>
      <c r="L40" s="387">
        <v>19999.560546875</v>
      </c>
      <c r="M40" s="387">
        <f>K40-L40</f>
        <v>19000.439453125</v>
      </c>
      <c r="N40" s="387" t="s">
        <v>737</v>
      </c>
      <c r="O40" s="387" t="s">
        <v>732</v>
      </c>
      <c r="P40" s="387">
        <v>100</v>
      </c>
      <c r="Q40" s="388">
        <v>36573.708333333336</v>
      </c>
      <c r="R40" s="389" t="s">
        <v>733</v>
      </c>
    </row>
    <row r="41" spans="1:18" ht="12.75" hidden="1" outlineLevel="4">
      <c r="A41" s="391" t="s">
        <v>1811</v>
      </c>
      <c r="B41" s="392" t="s">
        <v>1812</v>
      </c>
      <c r="C41" s="382">
        <f>0+C42+C43</f>
        <v>75106.22265625</v>
      </c>
      <c r="D41" s="382">
        <f>0+D42+D43</f>
        <v>64184.9765625</v>
      </c>
      <c r="E41" s="382">
        <f>0+E42+E43</f>
        <v>795.7188110351562</v>
      </c>
      <c r="F41" s="382">
        <f>0+F42+F43</f>
        <v>73245</v>
      </c>
      <c r="G41" s="382">
        <f>F41+E41</f>
        <v>74040.71881103516</v>
      </c>
      <c r="H41" s="382">
        <f>D41-C41</f>
        <v>-10921.24609375</v>
      </c>
      <c r="I41" s="382">
        <f>D41-E41</f>
        <v>63389.257751464844</v>
      </c>
      <c r="J41" s="382">
        <f>+J42+J43</f>
        <v>73200</v>
      </c>
      <c r="K41" s="382">
        <f>+K42+K43</f>
        <v>75106.2219619751</v>
      </c>
      <c r="L41" s="382">
        <f>0+L42+L43</f>
        <v>75106.2219619751</v>
      </c>
      <c r="M41" s="382">
        <f>K41-L41</f>
        <v>0</v>
      </c>
      <c r="N41" s="382" t="s">
        <v>770</v>
      </c>
      <c r="O41" s="382" t="s">
        <v>732</v>
      </c>
      <c r="P41" s="382">
        <v>75</v>
      </c>
      <c r="Q41" s="383">
        <v>37180.708333333336</v>
      </c>
      <c r="R41" s="384"/>
    </row>
    <row r="42" spans="1:18" ht="12.75" hidden="1" outlineLevel="5">
      <c r="A42" s="393" t="s">
        <v>1813</v>
      </c>
      <c r="B42" s="394" t="s">
        <v>1814</v>
      </c>
      <c r="C42" s="387">
        <v>54606.22265625</v>
      </c>
      <c r="D42" s="387">
        <v>43684.9765625</v>
      </c>
      <c r="E42" s="387">
        <v>795.7188110351562</v>
      </c>
      <c r="F42" s="387">
        <v>53048</v>
      </c>
      <c r="G42" s="387">
        <v>53843.718811035156</v>
      </c>
      <c r="H42" s="387">
        <v>-10921.24609375</v>
      </c>
      <c r="I42" s="387">
        <v>42889.257751464844</v>
      </c>
      <c r="J42" s="387">
        <v>53200</v>
      </c>
      <c r="K42" s="387">
        <v>54606.222438812256</v>
      </c>
      <c r="L42" s="387">
        <v>54606.222438812256</v>
      </c>
      <c r="M42" s="387"/>
      <c r="N42" s="387" t="s">
        <v>737</v>
      </c>
      <c r="O42" s="387" t="s">
        <v>732</v>
      </c>
      <c r="P42" s="387">
        <v>80</v>
      </c>
      <c r="Q42" s="388">
        <v>37180.708333333336</v>
      </c>
      <c r="R42" s="390"/>
    </row>
    <row r="43" spans="1:18" ht="12.75" hidden="1" outlineLevel="5">
      <c r="A43" s="393" t="s">
        <v>1815</v>
      </c>
      <c r="B43" s="394" t="s">
        <v>1816</v>
      </c>
      <c r="C43" s="387">
        <v>20500</v>
      </c>
      <c r="D43" s="387">
        <v>20500</v>
      </c>
      <c r="E43" s="387">
        <v>0</v>
      </c>
      <c r="F43" s="387">
        <v>20197</v>
      </c>
      <c r="G43" s="387">
        <v>20197</v>
      </c>
      <c r="H43" s="387">
        <v>0</v>
      </c>
      <c r="I43" s="387">
        <v>20500</v>
      </c>
      <c r="J43" s="387">
        <v>20000</v>
      </c>
      <c r="K43" s="387">
        <v>20499.99952316284</v>
      </c>
      <c r="L43" s="387">
        <v>20499.99952316284</v>
      </c>
      <c r="M43" s="387"/>
      <c r="N43" s="387" t="s">
        <v>737</v>
      </c>
      <c r="O43" s="387" t="s">
        <v>732</v>
      </c>
      <c r="P43" s="387">
        <v>60</v>
      </c>
      <c r="Q43" s="388">
        <v>37102.708333333336</v>
      </c>
      <c r="R43" s="390"/>
    </row>
    <row r="44" spans="1:18" ht="12.75" hidden="1" outlineLevel="4">
      <c r="A44" s="391" t="s">
        <v>1817</v>
      </c>
      <c r="B44" s="392" t="s">
        <v>1818</v>
      </c>
      <c r="C44" s="382">
        <f>0+C45+C46</f>
        <v>78523.76171875</v>
      </c>
      <c r="D44" s="382">
        <f>0+D45+D46</f>
        <v>21033</v>
      </c>
      <c r="E44" s="382">
        <f>0+E45+E46</f>
        <v>1160.4512023925781</v>
      </c>
      <c r="F44" s="382">
        <f>0+F45+F46</f>
        <v>77363</v>
      </c>
      <c r="G44" s="382">
        <f>F44+E44</f>
        <v>78523.45120239258</v>
      </c>
      <c r="H44" s="382">
        <f>D44-C44</f>
        <v>-57490.76171875</v>
      </c>
      <c r="I44" s="382">
        <f>D44-E44</f>
        <v>19872.548797607422</v>
      </c>
      <c r="J44" s="382">
        <f>+J45+J46</f>
        <v>74667.2</v>
      </c>
      <c r="K44" s="382">
        <f>+K45+K46</f>
        <v>78523.76441192627</v>
      </c>
      <c r="L44" s="382">
        <f>+L45+L46</f>
        <v>78523.76441192627</v>
      </c>
      <c r="M44" s="382">
        <f>K44-L44</f>
        <v>0</v>
      </c>
      <c r="N44" s="382" t="s">
        <v>770</v>
      </c>
      <c r="O44" s="382" t="s">
        <v>732</v>
      </c>
      <c r="P44" s="382">
        <v>34</v>
      </c>
      <c r="Q44" s="383">
        <v>37484.708333333336</v>
      </c>
      <c r="R44" s="384"/>
    </row>
    <row r="45" spans="1:18" ht="12.75" hidden="1" outlineLevel="5">
      <c r="A45" s="393" t="s">
        <v>1819</v>
      </c>
      <c r="B45" s="394" t="s">
        <v>1814</v>
      </c>
      <c r="C45" s="387">
        <v>57490.76171875</v>
      </c>
      <c r="D45" s="387">
        <v>0</v>
      </c>
      <c r="E45" s="387">
        <v>849.62109375</v>
      </c>
      <c r="F45" s="387">
        <v>56641</v>
      </c>
      <c r="G45" s="387">
        <v>57490.62109375</v>
      </c>
      <c r="H45" s="387">
        <v>-57490.76171875</v>
      </c>
      <c r="I45" s="387">
        <v>-849.62109375</v>
      </c>
      <c r="J45" s="387">
        <v>54667.2</v>
      </c>
      <c r="K45" s="387">
        <v>57490.76346588135</v>
      </c>
      <c r="L45" s="387">
        <v>57490.76346588135</v>
      </c>
      <c r="M45" s="387"/>
      <c r="N45" s="387" t="s">
        <v>737</v>
      </c>
      <c r="O45" s="387" t="s">
        <v>732</v>
      </c>
      <c r="P45" s="387">
        <v>0</v>
      </c>
      <c r="Q45" s="388">
        <v>37484.708333333336</v>
      </c>
      <c r="R45" s="390"/>
    </row>
    <row r="46" spans="1:18" ht="12.75" hidden="1" outlineLevel="5">
      <c r="A46" s="393" t="s">
        <v>1820</v>
      </c>
      <c r="B46" s="394" t="s">
        <v>1816</v>
      </c>
      <c r="C46" s="387">
        <v>21033</v>
      </c>
      <c r="D46" s="387">
        <v>21033</v>
      </c>
      <c r="E46" s="387">
        <v>310.8301086425781</v>
      </c>
      <c r="F46" s="387">
        <v>20722</v>
      </c>
      <c r="G46" s="387">
        <v>21032.830108642578</v>
      </c>
      <c r="H46" s="387">
        <v>0</v>
      </c>
      <c r="I46" s="387">
        <v>20722.169891357422</v>
      </c>
      <c r="J46" s="387">
        <v>20000</v>
      </c>
      <c r="K46" s="387">
        <v>21033.000946044922</v>
      </c>
      <c r="L46" s="387">
        <v>21033.000946044922</v>
      </c>
      <c r="M46" s="387"/>
      <c r="N46" s="387" t="s">
        <v>737</v>
      </c>
      <c r="O46" s="387" t="s">
        <v>732</v>
      </c>
      <c r="P46" s="387">
        <v>85</v>
      </c>
      <c r="Q46" s="388">
        <v>37428.708333333336</v>
      </c>
      <c r="R46" s="390"/>
    </row>
    <row r="47" spans="1:18" ht="12.75" hidden="1" outlineLevel="4">
      <c r="A47" s="391" t="s">
        <v>1821</v>
      </c>
      <c r="B47" s="392" t="s">
        <v>1822</v>
      </c>
      <c r="C47" s="382">
        <f>0+C48+C49+C50+C51</f>
        <v>122180.701171875</v>
      </c>
      <c r="D47" s="382">
        <f>0+D48+D49+D50+D51</f>
        <v>0</v>
      </c>
      <c r="E47" s="382">
        <f>0+E48+E49+E50+E51</f>
        <v>0</v>
      </c>
      <c r="F47" s="382">
        <f>0+F48+F49+F50+F51</f>
        <v>0</v>
      </c>
      <c r="G47" s="382">
        <f>F47+E47</f>
        <v>0</v>
      </c>
      <c r="H47" s="382">
        <f>D47-C47</f>
        <v>-122180.701171875</v>
      </c>
      <c r="I47" s="382">
        <f>D47-E47</f>
        <v>0</v>
      </c>
      <c r="J47" s="382">
        <f>+J48+J49+J50+J51</f>
        <v>116180</v>
      </c>
      <c r="K47" s="382">
        <f>+K48+K49+K50+K51</f>
        <v>122180.70249557495</v>
      </c>
      <c r="L47" s="382">
        <f>+L48+L49+L50+L51</f>
        <v>122180.70249557495</v>
      </c>
      <c r="M47" s="382">
        <f>K47-L47</f>
        <v>0</v>
      </c>
      <c r="N47" s="382" t="s">
        <v>770</v>
      </c>
      <c r="O47" s="382" t="s">
        <v>732</v>
      </c>
      <c r="P47" s="382">
        <v>0</v>
      </c>
      <c r="Q47" s="383">
        <v>37484.708333333336</v>
      </c>
      <c r="R47" s="384"/>
    </row>
    <row r="48" spans="1:18" ht="12.75" hidden="1" outlineLevel="5">
      <c r="A48" s="393" t="s">
        <v>1823</v>
      </c>
      <c r="B48" s="394" t="s">
        <v>1824</v>
      </c>
      <c r="C48" s="387">
        <v>110843.9140625</v>
      </c>
      <c r="D48" s="387">
        <v>0</v>
      </c>
      <c r="E48" s="387">
        <v>0</v>
      </c>
      <c r="F48" s="387">
        <v>0</v>
      </c>
      <c r="G48" s="387">
        <v>0</v>
      </c>
      <c r="H48" s="387">
        <v>-110843.9140625</v>
      </c>
      <c r="I48" s="387">
        <v>0</v>
      </c>
      <c r="J48" s="387">
        <v>105400</v>
      </c>
      <c r="K48" s="387">
        <v>110843.91498565674</v>
      </c>
      <c r="L48" s="387">
        <v>110843.91498565674</v>
      </c>
      <c r="M48" s="387"/>
      <c r="N48" s="387" t="s">
        <v>737</v>
      </c>
      <c r="O48" s="387" t="s">
        <v>732</v>
      </c>
      <c r="P48" s="387">
        <v>0</v>
      </c>
      <c r="Q48" s="388">
        <v>37453.62993055556</v>
      </c>
      <c r="R48" s="390"/>
    </row>
    <row r="49" spans="1:18" ht="12.75" hidden="1" outlineLevel="5">
      <c r="A49" s="393" t="s">
        <v>1825</v>
      </c>
      <c r="B49" s="394" t="s">
        <v>1826</v>
      </c>
      <c r="C49" s="387">
        <v>11336.787109375</v>
      </c>
      <c r="D49" s="387">
        <v>0</v>
      </c>
      <c r="E49" s="387">
        <v>0</v>
      </c>
      <c r="F49" s="387">
        <v>0</v>
      </c>
      <c r="G49" s="387">
        <v>0</v>
      </c>
      <c r="H49" s="387">
        <v>-11336.787109375</v>
      </c>
      <c r="I49" s="387">
        <v>0</v>
      </c>
      <c r="J49" s="387">
        <v>10780</v>
      </c>
      <c r="K49" s="387">
        <v>11336.787509918213</v>
      </c>
      <c r="L49" s="387">
        <v>11336.787509918213</v>
      </c>
      <c r="M49" s="387"/>
      <c r="N49" s="387" t="s">
        <v>737</v>
      </c>
      <c r="O49" s="387" t="s">
        <v>732</v>
      </c>
      <c r="P49" s="387">
        <v>0</v>
      </c>
      <c r="Q49" s="388">
        <v>37449.708333333336</v>
      </c>
      <c r="R49" s="390"/>
    </row>
    <row r="50" spans="1:18" ht="12.75" hidden="1" outlineLevel="5">
      <c r="A50" s="393" t="s">
        <v>1574</v>
      </c>
      <c r="B50" s="394" t="s">
        <v>1575</v>
      </c>
      <c r="C50" s="387">
        <v>0</v>
      </c>
      <c r="D50" s="387">
        <v>0</v>
      </c>
      <c r="E50" s="387">
        <v>0</v>
      </c>
      <c r="F50" s="387">
        <v>0</v>
      </c>
      <c r="G50" s="387">
        <v>0</v>
      </c>
      <c r="H50" s="387">
        <v>0</v>
      </c>
      <c r="I50" s="387">
        <v>0</v>
      </c>
      <c r="J50" s="387">
        <v>0</v>
      </c>
      <c r="K50" s="387">
        <v>0</v>
      </c>
      <c r="L50" s="387">
        <v>0</v>
      </c>
      <c r="M50" s="387"/>
      <c r="N50" s="387" t="s">
        <v>737</v>
      </c>
      <c r="O50" s="387" t="s">
        <v>732</v>
      </c>
      <c r="P50" s="387">
        <v>0</v>
      </c>
      <c r="Q50" s="388">
        <v>37421.708333333336</v>
      </c>
      <c r="R50" s="390"/>
    </row>
    <row r="51" spans="1:18" ht="12.75" hidden="1" outlineLevel="5">
      <c r="A51" s="393" t="s">
        <v>1827</v>
      </c>
      <c r="B51" s="394" t="s">
        <v>1795</v>
      </c>
      <c r="C51" s="387">
        <v>0</v>
      </c>
      <c r="D51" s="387">
        <v>0</v>
      </c>
      <c r="E51" s="387">
        <v>0</v>
      </c>
      <c r="F51" s="387">
        <v>0</v>
      </c>
      <c r="G51" s="387">
        <v>0</v>
      </c>
      <c r="H51" s="387">
        <v>0</v>
      </c>
      <c r="I51" s="387">
        <v>0</v>
      </c>
      <c r="J51" s="387">
        <v>0</v>
      </c>
      <c r="K51" s="387">
        <v>0</v>
      </c>
      <c r="L51" s="387">
        <v>0</v>
      </c>
      <c r="M51" s="387"/>
      <c r="N51" s="387" t="s">
        <v>737</v>
      </c>
      <c r="O51" s="387" t="s">
        <v>732</v>
      </c>
      <c r="P51" s="387">
        <v>0</v>
      </c>
      <c r="Q51" s="388">
        <v>37484.708333333336</v>
      </c>
      <c r="R51" s="390"/>
    </row>
    <row r="52" spans="1:18" ht="12.75" outlineLevel="3" collapsed="1">
      <c r="A52" s="380" t="s">
        <v>1828</v>
      </c>
      <c r="B52" s="381" t="s">
        <v>1829</v>
      </c>
      <c r="C52" s="382">
        <f>0+C53+C54+C55</f>
        <v>0</v>
      </c>
      <c r="D52" s="382">
        <f>0+D53+D54+D55</f>
        <v>0</v>
      </c>
      <c r="E52" s="382">
        <f>0+E53+E54+E55</f>
        <v>0</v>
      </c>
      <c r="F52" s="382">
        <f>0+F53+F54+F55</f>
        <v>0</v>
      </c>
      <c r="G52" s="382">
        <f>F52+E52</f>
        <v>0</v>
      </c>
      <c r="H52" s="382">
        <f>D52-C52</f>
        <v>0</v>
      </c>
      <c r="I52" s="382">
        <f>D52-E52</f>
        <v>0</v>
      </c>
      <c r="J52" s="382">
        <f>+J53+J54+J55</f>
        <v>52239</v>
      </c>
      <c r="K52" s="382">
        <f>+K53+K54+K55</f>
        <v>56165.81944513321</v>
      </c>
      <c r="L52" s="382">
        <f>+L53+L54+L55</f>
        <v>56165.81944513321</v>
      </c>
      <c r="M52" s="382">
        <f>K52-L52</f>
        <v>0</v>
      </c>
      <c r="N52" s="382" t="s">
        <v>768</v>
      </c>
      <c r="O52" s="382" t="s">
        <v>732</v>
      </c>
      <c r="P52" s="382">
        <v>5</v>
      </c>
      <c r="Q52" s="383">
        <v>37931.708333333336</v>
      </c>
      <c r="R52" s="384"/>
    </row>
    <row r="53" spans="1:18" ht="12.75" hidden="1" outlineLevel="4">
      <c r="A53" s="385" t="s">
        <v>1830</v>
      </c>
      <c r="B53" s="386" t="s">
        <v>1831</v>
      </c>
      <c r="C53" s="387">
        <v>0</v>
      </c>
      <c r="D53" s="387">
        <v>0</v>
      </c>
      <c r="E53" s="387">
        <v>0</v>
      </c>
      <c r="F53" s="387">
        <v>0</v>
      </c>
      <c r="G53" s="387">
        <v>0</v>
      </c>
      <c r="H53" s="387">
        <v>0</v>
      </c>
      <c r="I53" s="387">
        <v>0</v>
      </c>
      <c r="J53" s="387">
        <v>45255</v>
      </c>
      <c r="K53" s="387">
        <v>48591.8665766716</v>
      </c>
      <c r="L53" s="387">
        <v>48591.8665766716</v>
      </c>
      <c r="M53" s="387"/>
      <c r="N53" s="387" t="s">
        <v>780</v>
      </c>
      <c r="O53" s="387" t="s">
        <v>732</v>
      </c>
      <c r="P53" s="387">
        <v>0</v>
      </c>
      <c r="Q53" s="388">
        <v>37861.708333333336</v>
      </c>
      <c r="R53" s="390"/>
    </row>
    <row r="54" spans="1:18" ht="12.75" hidden="1" outlineLevel="4">
      <c r="A54" s="385" t="s">
        <v>1833</v>
      </c>
      <c r="B54" s="386" t="s">
        <v>1834</v>
      </c>
      <c r="C54" s="387">
        <v>0</v>
      </c>
      <c r="D54" s="387">
        <v>0</v>
      </c>
      <c r="E54" s="387">
        <v>0</v>
      </c>
      <c r="F54" s="387">
        <v>0</v>
      </c>
      <c r="G54" s="387">
        <v>0</v>
      </c>
      <c r="H54" s="387">
        <v>0</v>
      </c>
      <c r="I54" s="387">
        <v>0</v>
      </c>
      <c r="J54" s="387">
        <v>6984</v>
      </c>
      <c r="K54" s="387">
        <v>7573.952868461609</v>
      </c>
      <c r="L54" s="387">
        <v>7573.952868461609</v>
      </c>
      <c r="M54" s="387"/>
      <c r="N54" s="387" t="s">
        <v>780</v>
      </c>
      <c r="O54" s="387" t="s">
        <v>732</v>
      </c>
      <c r="P54" s="387">
        <v>0</v>
      </c>
      <c r="Q54" s="388">
        <v>37917.708333333336</v>
      </c>
      <c r="R54" s="390"/>
    </row>
    <row r="55" spans="1:18" ht="12.75" hidden="1" outlineLevel="4">
      <c r="A55" s="385" t="s">
        <v>1835</v>
      </c>
      <c r="B55" s="386" t="s">
        <v>1836</v>
      </c>
      <c r="C55" s="387">
        <v>0</v>
      </c>
      <c r="D55" s="387">
        <v>0</v>
      </c>
      <c r="E55" s="387">
        <v>0</v>
      </c>
      <c r="F55" s="387">
        <v>0</v>
      </c>
      <c r="G55" s="387">
        <v>0</v>
      </c>
      <c r="H55" s="387">
        <v>0</v>
      </c>
      <c r="I55" s="387">
        <v>0</v>
      </c>
      <c r="J55" s="387">
        <v>0</v>
      </c>
      <c r="K55" s="387">
        <v>0</v>
      </c>
      <c r="L55" s="387">
        <v>0</v>
      </c>
      <c r="M55" s="387"/>
      <c r="N55" s="387" t="s">
        <v>736</v>
      </c>
      <c r="O55" s="387" t="s">
        <v>732</v>
      </c>
      <c r="P55" s="387">
        <v>0</v>
      </c>
      <c r="Q55" s="388">
        <v>37931.708333333336</v>
      </c>
      <c r="R55" s="390"/>
    </row>
    <row r="56" spans="1:18" ht="12.75" outlineLevel="3">
      <c r="A56" s="380" t="s">
        <v>1837</v>
      </c>
      <c r="B56" s="381" t="s">
        <v>1838</v>
      </c>
      <c r="C56" s="382">
        <f>0+C57+C58+C59</f>
        <v>0</v>
      </c>
      <c r="D56" s="382">
        <f>0+D57+D58+D59</f>
        <v>0</v>
      </c>
      <c r="E56" s="382">
        <f>0+E57+E58+E59</f>
        <v>0</v>
      </c>
      <c r="F56" s="382">
        <f>0+F57+F58+F59</f>
        <v>20742</v>
      </c>
      <c r="G56" s="382">
        <f>F56+E56</f>
        <v>20742</v>
      </c>
      <c r="H56" s="382">
        <f>D56-C56</f>
        <v>0</v>
      </c>
      <c r="I56" s="382">
        <f>D56-E56</f>
        <v>0</v>
      </c>
      <c r="J56" s="382">
        <f>+J57+J58+J59</f>
        <v>11400</v>
      </c>
      <c r="K56" s="382">
        <f>+K57+K58+K59</f>
        <v>12305.00020980835</v>
      </c>
      <c r="L56" s="382">
        <f>+L57+L58+L59</f>
        <v>12305.00020980835</v>
      </c>
      <c r="M56" s="382">
        <f>K56-L56</f>
        <v>0</v>
      </c>
      <c r="N56" s="382" t="s">
        <v>768</v>
      </c>
      <c r="O56" s="382" t="s">
        <v>732</v>
      </c>
      <c r="P56" s="382">
        <v>0</v>
      </c>
      <c r="Q56" s="383">
        <v>37959.708333333336</v>
      </c>
      <c r="R56" s="384"/>
    </row>
    <row r="57" spans="1:18" ht="12.75" outlineLevel="4">
      <c r="A57" s="385" t="s">
        <v>1839</v>
      </c>
      <c r="B57" s="386" t="s">
        <v>1840</v>
      </c>
      <c r="C57" s="387">
        <v>0</v>
      </c>
      <c r="D57" s="387">
        <v>0</v>
      </c>
      <c r="E57" s="387">
        <v>0</v>
      </c>
      <c r="F57" s="387">
        <v>20742</v>
      </c>
      <c r="G57" s="387">
        <v>20742</v>
      </c>
      <c r="H57" s="387">
        <v>0</v>
      </c>
      <c r="I57" s="387">
        <v>0</v>
      </c>
      <c r="J57" s="387">
        <v>9000</v>
      </c>
      <c r="K57" s="387">
        <v>9663.612842559814</v>
      </c>
      <c r="L57" s="387">
        <v>9663.612842559814</v>
      </c>
      <c r="M57" s="387"/>
      <c r="N57" s="387" t="s">
        <v>736</v>
      </c>
      <c r="O57" s="387" t="s">
        <v>732</v>
      </c>
      <c r="P57" s="387">
        <v>0</v>
      </c>
      <c r="Q57" s="388">
        <v>37931.708333333336</v>
      </c>
      <c r="R57" s="390"/>
    </row>
    <row r="58" spans="1:18" ht="12.75" outlineLevel="4">
      <c r="A58" s="385" t="s">
        <v>1842</v>
      </c>
      <c r="B58" s="386" t="s">
        <v>1843</v>
      </c>
      <c r="C58" s="387">
        <v>0</v>
      </c>
      <c r="D58" s="387">
        <v>0</v>
      </c>
      <c r="E58" s="387">
        <v>0</v>
      </c>
      <c r="F58" s="387">
        <v>0</v>
      </c>
      <c r="G58" s="387">
        <v>0</v>
      </c>
      <c r="H58" s="387">
        <v>0</v>
      </c>
      <c r="I58" s="387">
        <v>0</v>
      </c>
      <c r="J58" s="387">
        <v>2400</v>
      </c>
      <c r="K58" s="387">
        <v>2641.387367248535</v>
      </c>
      <c r="L58" s="387">
        <v>2641.387367248535</v>
      </c>
      <c r="M58" s="387"/>
      <c r="N58" s="387" t="s">
        <v>736</v>
      </c>
      <c r="O58" s="387" t="s">
        <v>732</v>
      </c>
      <c r="P58" s="387">
        <v>0</v>
      </c>
      <c r="Q58" s="388">
        <v>37945.708333333336</v>
      </c>
      <c r="R58" s="390"/>
    </row>
    <row r="59" spans="1:18" ht="12.75" outlineLevel="4">
      <c r="A59" s="385" t="s">
        <v>1844</v>
      </c>
      <c r="B59" s="386" t="s">
        <v>0</v>
      </c>
      <c r="C59" s="387">
        <v>0</v>
      </c>
      <c r="D59" s="387">
        <v>0</v>
      </c>
      <c r="E59" s="387">
        <v>0</v>
      </c>
      <c r="F59" s="387">
        <v>0</v>
      </c>
      <c r="G59" s="387">
        <v>0</v>
      </c>
      <c r="H59" s="387">
        <v>0</v>
      </c>
      <c r="I59" s="387">
        <v>0</v>
      </c>
      <c r="J59" s="387">
        <v>0</v>
      </c>
      <c r="K59" s="387">
        <v>0</v>
      </c>
      <c r="L59" s="387">
        <v>0</v>
      </c>
      <c r="M59" s="387"/>
      <c r="N59" s="387" t="s">
        <v>736</v>
      </c>
      <c r="O59" s="387" t="s">
        <v>732</v>
      </c>
      <c r="P59" s="387">
        <v>0</v>
      </c>
      <c r="Q59" s="388">
        <v>37959.708333333336</v>
      </c>
      <c r="R59" s="390"/>
    </row>
    <row r="60" spans="1:18" ht="12.75" outlineLevel="3" collapsed="1">
      <c r="A60" s="380" t="s">
        <v>1</v>
      </c>
      <c r="B60" s="381" t="s">
        <v>2</v>
      </c>
      <c r="C60" s="382">
        <f>0+C61+C62+C63</f>
        <v>0</v>
      </c>
      <c r="D60" s="382">
        <f>0+D61+D62+D63</f>
        <v>0</v>
      </c>
      <c r="E60" s="382">
        <f>0+E61+E62+E63</f>
        <v>0</v>
      </c>
      <c r="F60" s="382">
        <f>0+F61+F62+F63</f>
        <v>0</v>
      </c>
      <c r="G60" s="382">
        <f>F60+E60</f>
        <v>0</v>
      </c>
      <c r="H60" s="382">
        <f>D60-C60</f>
        <v>0</v>
      </c>
      <c r="I60" s="382">
        <f>D60-E60</f>
        <v>0</v>
      </c>
      <c r="J60" s="382">
        <f>+J61+J62+J63</f>
        <v>107568</v>
      </c>
      <c r="K60" s="382">
        <f>+K61+K62+K63</f>
        <v>115499.5006942749</v>
      </c>
      <c r="L60" s="382">
        <f>+L61+L62+L63</f>
        <v>115499.5006942749</v>
      </c>
      <c r="M60" s="382">
        <f>K60-L60</f>
        <v>0</v>
      </c>
      <c r="N60" s="382" t="s">
        <v>768</v>
      </c>
      <c r="O60" s="382" t="s">
        <v>732</v>
      </c>
      <c r="P60" s="382">
        <v>35</v>
      </c>
      <c r="Q60" s="383">
        <v>37852.43402777778</v>
      </c>
      <c r="R60" s="384"/>
    </row>
    <row r="61" spans="1:18" ht="12.75" hidden="1" outlineLevel="4">
      <c r="A61" s="385" t="s">
        <v>3</v>
      </c>
      <c r="B61" s="386" t="s">
        <v>1576</v>
      </c>
      <c r="C61" s="387">
        <v>0</v>
      </c>
      <c r="D61" s="387">
        <v>0</v>
      </c>
      <c r="E61" s="387">
        <v>0</v>
      </c>
      <c r="F61" s="387">
        <v>0</v>
      </c>
      <c r="G61" s="387">
        <v>0</v>
      </c>
      <c r="H61" s="387">
        <v>0</v>
      </c>
      <c r="I61" s="387">
        <v>0</v>
      </c>
      <c r="J61" s="387">
        <v>100800</v>
      </c>
      <c r="K61" s="387">
        <v>108232.46383666992</v>
      </c>
      <c r="L61" s="387">
        <v>108232.46383666992</v>
      </c>
      <c r="M61" s="387"/>
      <c r="N61" s="387" t="s">
        <v>736</v>
      </c>
      <c r="O61" s="387" t="s">
        <v>732</v>
      </c>
      <c r="P61" s="387">
        <v>0</v>
      </c>
      <c r="Q61" s="388">
        <v>37810.43402777778</v>
      </c>
      <c r="R61" s="390"/>
    </row>
    <row r="62" spans="1:18" ht="12.75" hidden="1" outlineLevel="4">
      <c r="A62" s="385" t="s">
        <v>5</v>
      </c>
      <c r="B62" s="386" t="s">
        <v>6</v>
      </c>
      <c r="C62" s="387">
        <v>0</v>
      </c>
      <c r="D62" s="387">
        <v>0</v>
      </c>
      <c r="E62" s="387">
        <v>0</v>
      </c>
      <c r="F62" s="387">
        <v>0</v>
      </c>
      <c r="G62" s="387">
        <v>0</v>
      </c>
      <c r="H62" s="387">
        <v>0</v>
      </c>
      <c r="I62" s="387">
        <v>0</v>
      </c>
      <c r="J62" s="387">
        <v>6768</v>
      </c>
      <c r="K62" s="387">
        <v>7267.0368576049805</v>
      </c>
      <c r="L62" s="387">
        <v>7267.0368576049805</v>
      </c>
      <c r="M62" s="387"/>
      <c r="N62" s="387" t="s">
        <v>736</v>
      </c>
      <c r="O62" s="387" t="s">
        <v>732</v>
      </c>
      <c r="P62" s="387">
        <v>0</v>
      </c>
      <c r="Q62" s="388">
        <v>37838.43402777778</v>
      </c>
      <c r="R62" s="390"/>
    </row>
    <row r="63" spans="1:18" ht="12.75" hidden="1" outlineLevel="4">
      <c r="A63" s="385" t="s">
        <v>7</v>
      </c>
      <c r="B63" s="386" t="s">
        <v>8</v>
      </c>
      <c r="C63" s="387">
        <v>0</v>
      </c>
      <c r="D63" s="387">
        <v>0</v>
      </c>
      <c r="E63" s="387">
        <v>0</v>
      </c>
      <c r="F63" s="387">
        <v>0</v>
      </c>
      <c r="G63" s="387">
        <v>0</v>
      </c>
      <c r="H63" s="387">
        <v>0</v>
      </c>
      <c r="I63" s="387">
        <v>0</v>
      </c>
      <c r="J63" s="387">
        <v>0</v>
      </c>
      <c r="K63" s="387">
        <v>0</v>
      </c>
      <c r="L63" s="387">
        <v>0</v>
      </c>
      <c r="M63" s="387"/>
      <c r="N63" s="387" t="s">
        <v>736</v>
      </c>
      <c r="O63" s="387" t="s">
        <v>732</v>
      </c>
      <c r="P63" s="387">
        <v>0</v>
      </c>
      <c r="Q63" s="388">
        <v>37852.43402777778</v>
      </c>
      <c r="R63" s="390"/>
    </row>
    <row r="64" spans="1:18" ht="12.75" outlineLevel="3" collapsed="1">
      <c r="A64" s="380" t="s">
        <v>9</v>
      </c>
      <c r="B64" s="381" t="s">
        <v>10</v>
      </c>
      <c r="C64" s="382">
        <f>0+C65+C66</f>
        <v>0</v>
      </c>
      <c r="D64" s="382">
        <f>0+D65+D66</f>
        <v>0</v>
      </c>
      <c r="E64" s="382">
        <f>0+E65+E66</f>
        <v>0</v>
      </c>
      <c r="F64" s="382">
        <f>0+F65+F66</f>
        <v>0</v>
      </c>
      <c r="G64" s="382">
        <f>F64+E64</f>
        <v>0</v>
      </c>
      <c r="H64" s="382">
        <f>D64-C64</f>
        <v>0</v>
      </c>
      <c r="I64" s="382">
        <f>D64-E64</f>
        <v>0</v>
      </c>
      <c r="J64" s="382">
        <f>+J65+J66</f>
        <v>0</v>
      </c>
      <c r="K64" s="382">
        <f>+K65+K66</f>
        <v>0</v>
      </c>
      <c r="L64" s="382">
        <f>+L65+L66</f>
        <v>0</v>
      </c>
      <c r="M64" s="382">
        <f>K64-L64</f>
        <v>0</v>
      </c>
      <c r="N64" s="382" t="s">
        <v>768</v>
      </c>
      <c r="O64" s="382" t="s">
        <v>732</v>
      </c>
      <c r="P64" s="382">
        <v>0</v>
      </c>
      <c r="Q64" s="383">
        <v>37813.708333333336</v>
      </c>
      <c r="R64" s="384"/>
    </row>
    <row r="65" spans="1:18" ht="12.75" hidden="1" outlineLevel="4">
      <c r="A65" s="385" t="s">
        <v>11</v>
      </c>
      <c r="B65" s="386" t="s">
        <v>12</v>
      </c>
      <c r="C65" s="387">
        <v>0</v>
      </c>
      <c r="D65" s="387">
        <v>0</v>
      </c>
      <c r="E65" s="387">
        <v>0</v>
      </c>
      <c r="F65" s="387">
        <v>0</v>
      </c>
      <c r="G65" s="387">
        <v>0</v>
      </c>
      <c r="H65" s="387">
        <v>0</v>
      </c>
      <c r="I65" s="387">
        <v>0</v>
      </c>
      <c r="J65" s="387">
        <v>0</v>
      </c>
      <c r="K65" s="387">
        <v>0</v>
      </c>
      <c r="L65" s="387">
        <v>0</v>
      </c>
      <c r="M65" s="387"/>
      <c r="N65" s="387" t="s">
        <v>736</v>
      </c>
      <c r="O65" s="387" t="s">
        <v>732</v>
      </c>
      <c r="P65" s="387">
        <v>0</v>
      </c>
      <c r="Q65" s="388">
        <v>37799.708333333336</v>
      </c>
      <c r="R65" s="390"/>
    </row>
    <row r="66" spans="1:18" ht="12.75" hidden="1" outlineLevel="4">
      <c r="A66" s="385" t="s">
        <v>13</v>
      </c>
      <c r="B66" s="386" t="s">
        <v>14</v>
      </c>
      <c r="C66" s="387">
        <v>0</v>
      </c>
      <c r="D66" s="387">
        <v>0</v>
      </c>
      <c r="E66" s="387">
        <v>0</v>
      </c>
      <c r="F66" s="387">
        <v>0</v>
      </c>
      <c r="G66" s="387">
        <v>0</v>
      </c>
      <c r="H66" s="387">
        <v>0</v>
      </c>
      <c r="I66" s="387">
        <v>0</v>
      </c>
      <c r="J66" s="387">
        <v>0</v>
      </c>
      <c r="K66" s="387">
        <v>0</v>
      </c>
      <c r="L66" s="387">
        <v>0</v>
      </c>
      <c r="M66" s="387"/>
      <c r="N66" s="387" t="s">
        <v>736</v>
      </c>
      <c r="O66" s="387" t="s">
        <v>732</v>
      </c>
      <c r="P66" s="387">
        <v>0</v>
      </c>
      <c r="Q66" s="388">
        <v>37813.708333333336</v>
      </c>
      <c r="R66" s="390"/>
    </row>
    <row r="67" spans="1:18" ht="12.75" outlineLevel="3" collapsed="1">
      <c r="A67" s="380" t="s">
        <v>781</v>
      </c>
      <c r="B67" s="381" t="s">
        <v>782</v>
      </c>
      <c r="C67" s="382">
        <f>0+C68+C69</f>
        <v>0</v>
      </c>
      <c r="D67" s="382">
        <f>0+D68+D69</f>
        <v>0</v>
      </c>
      <c r="E67" s="382">
        <f>0+E68+E69</f>
        <v>0</v>
      </c>
      <c r="F67" s="382">
        <f>0+F68+F69</f>
        <v>0</v>
      </c>
      <c r="G67" s="382">
        <f>F67+E67</f>
        <v>0</v>
      </c>
      <c r="H67" s="382">
        <f>D67-C67</f>
        <v>0</v>
      </c>
      <c r="I67" s="382">
        <f>D67-E67</f>
        <v>0</v>
      </c>
      <c r="J67" s="382">
        <f>+J68+J69</f>
        <v>0</v>
      </c>
      <c r="K67" s="382">
        <f>+K68+K69</f>
        <v>0</v>
      </c>
      <c r="L67" s="382">
        <f>+L68+L69</f>
        <v>0</v>
      </c>
      <c r="M67" s="382">
        <f>K67-L67</f>
        <v>0</v>
      </c>
      <c r="N67" s="382" t="s">
        <v>768</v>
      </c>
      <c r="O67" s="382" t="s">
        <v>732</v>
      </c>
      <c r="P67" s="382">
        <v>100</v>
      </c>
      <c r="Q67" s="383">
        <v>36181.708333333336</v>
      </c>
      <c r="R67" s="384"/>
    </row>
    <row r="68" spans="1:18" ht="12.75" hidden="1" outlineLevel="4">
      <c r="A68" s="391" t="s">
        <v>783</v>
      </c>
      <c r="B68" s="392" t="s">
        <v>784</v>
      </c>
      <c r="C68" s="382">
        <v>0</v>
      </c>
      <c r="D68" s="382">
        <v>0</v>
      </c>
      <c r="E68" s="382">
        <v>0</v>
      </c>
      <c r="F68" s="382">
        <v>0</v>
      </c>
      <c r="G68" s="382"/>
      <c r="H68" s="382"/>
      <c r="I68" s="382"/>
      <c r="J68" s="382"/>
      <c r="K68" s="382"/>
      <c r="L68" s="382"/>
      <c r="M68" s="382">
        <f>K68-L68</f>
        <v>0</v>
      </c>
      <c r="N68" s="382" t="s">
        <v>770</v>
      </c>
      <c r="O68" s="382" t="s">
        <v>732</v>
      </c>
      <c r="P68" s="382">
        <v>100</v>
      </c>
      <c r="Q68" s="383">
        <v>36181.708333333336</v>
      </c>
      <c r="R68" s="384"/>
    </row>
    <row r="69" spans="1:18" ht="12.75" hidden="1" outlineLevel="4">
      <c r="A69" s="391" t="s">
        <v>785</v>
      </c>
      <c r="B69" s="392" t="s">
        <v>786</v>
      </c>
      <c r="C69" s="382">
        <v>0</v>
      </c>
      <c r="D69" s="382">
        <v>0</v>
      </c>
      <c r="E69" s="382">
        <v>0</v>
      </c>
      <c r="F69" s="382">
        <v>0</v>
      </c>
      <c r="G69" s="382"/>
      <c r="H69" s="382"/>
      <c r="I69" s="382"/>
      <c r="J69" s="382"/>
      <c r="K69" s="382"/>
      <c r="L69" s="382"/>
      <c r="M69" s="382">
        <f>K69-L69</f>
        <v>0</v>
      </c>
      <c r="N69" s="382" t="s">
        <v>770</v>
      </c>
      <c r="O69" s="382" t="s">
        <v>732</v>
      </c>
      <c r="P69" s="382">
        <v>100</v>
      </c>
      <c r="Q69" s="383">
        <v>35921.708333333336</v>
      </c>
      <c r="R69" s="384"/>
    </row>
    <row r="70" spans="1:18" ht="12.75" outlineLevel="3" collapsed="1">
      <c r="A70" s="380" t="s">
        <v>15</v>
      </c>
      <c r="B70" s="381" t="s">
        <v>16</v>
      </c>
      <c r="C70" s="382">
        <f>0+C71+C72+C73</f>
        <v>0</v>
      </c>
      <c r="D70" s="382">
        <f>0+D71+D72+D73</f>
        <v>0</v>
      </c>
      <c r="E70" s="382">
        <f>0+E71+E72+E73</f>
        <v>0</v>
      </c>
      <c r="F70" s="382">
        <f>0+F71+F72+F73</f>
        <v>0</v>
      </c>
      <c r="G70" s="382">
        <f>F70+E70</f>
        <v>0</v>
      </c>
      <c r="H70" s="382">
        <f>D70-C70</f>
        <v>0</v>
      </c>
      <c r="I70" s="382">
        <f>D70-E70</f>
        <v>0</v>
      </c>
      <c r="J70" s="382">
        <f>+J71+J72+J73</f>
        <v>12000</v>
      </c>
      <c r="K70" s="382">
        <f>+K71+K72+K73</f>
        <v>12884.817123413086</v>
      </c>
      <c r="L70" s="382">
        <f>+L71+L72+L73</f>
        <v>12884.817123413086</v>
      </c>
      <c r="M70" s="382">
        <f>K70-L70</f>
        <v>0</v>
      </c>
      <c r="N70" s="382" t="s">
        <v>768</v>
      </c>
      <c r="O70" s="382" t="s">
        <v>732</v>
      </c>
      <c r="P70" s="382">
        <v>59</v>
      </c>
      <c r="Q70" s="383">
        <v>37791.708333333336</v>
      </c>
      <c r="R70" s="384"/>
    </row>
    <row r="71" spans="1:18" ht="12.75" hidden="1" outlineLevel="4">
      <c r="A71" s="385" t="s">
        <v>17</v>
      </c>
      <c r="B71" s="386" t="s">
        <v>18</v>
      </c>
      <c r="C71" s="387">
        <v>0</v>
      </c>
      <c r="D71" s="387">
        <v>0</v>
      </c>
      <c r="E71" s="387">
        <v>0</v>
      </c>
      <c r="F71" s="387">
        <v>0</v>
      </c>
      <c r="G71" s="387">
        <v>0</v>
      </c>
      <c r="H71" s="387">
        <v>0</v>
      </c>
      <c r="I71" s="387">
        <v>0</v>
      </c>
      <c r="J71" s="387">
        <v>12000</v>
      </c>
      <c r="K71" s="387">
        <v>12884.817123413086</v>
      </c>
      <c r="L71" s="387">
        <v>12884.817123413086</v>
      </c>
      <c r="M71" s="387"/>
      <c r="N71" s="387" t="s">
        <v>736</v>
      </c>
      <c r="O71" s="387" t="s">
        <v>732</v>
      </c>
      <c r="P71" s="387">
        <v>0</v>
      </c>
      <c r="Q71" s="388">
        <v>37791.708333333336</v>
      </c>
      <c r="R71" s="390"/>
    </row>
    <row r="72" spans="1:18" ht="12.75" hidden="1" outlineLevel="4">
      <c r="A72" s="385" t="s">
        <v>19</v>
      </c>
      <c r="B72" s="386" t="s">
        <v>20</v>
      </c>
      <c r="C72" s="387">
        <v>0</v>
      </c>
      <c r="D72" s="387">
        <v>0</v>
      </c>
      <c r="E72" s="387">
        <v>0</v>
      </c>
      <c r="F72" s="387">
        <v>0</v>
      </c>
      <c r="G72" s="387">
        <v>0</v>
      </c>
      <c r="H72" s="387">
        <v>0</v>
      </c>
      <c r="I72" s="387">
        <v>0</v>
      </c>
      <c r="J72" s="387">
        <v>0</v>
      </c>
      <c r="K72" s="387">
        <v>0</v>
      </c>
      <c r="L72" s="387">
        <v>0</v>
      </c>
      <c r="M72" s="387"/>
      <c r="N72" s="387" t="s">
        <v>736</v>
      </c>
      <c r="O72" s="387" t="s">
        <v>732</v>
      </c>
      <c r="P72" s="387">
        <v>0</v>
      </c>
      <c r="Q72" s="388">
        <v>37679.708333333336</v>
      </c>
      <c r="R72" s="390"/>
    </row>
    <row r="73" spans="1:18" ht="12.75" hidden="1" outlineLevel="4">
      <c r="A73" s="385" t="s">
        <v>21</v>
      </c>
      <c r="B73" s="386" t="s">
        <v>22</v>
      </c>
      <c r="C73" s="387">
        <v>0</v>
      </c>
      <c r="D73" s="387">
        <v>0</v>
      </c>
      <c r="E73" s="387">
        <v>0</v>
      </c>
      <c r="F73" s="387">
        <v>0</v>
      </c>
      <c r="G73" s="387">
        <v>0</v>
      </c>
      <c r="H73" s="387">
        <v>0</v>
      </c>
      <c r="I73" s="387">
        <v>0</v>
      </c>
      <c r="J73" s="387">
        <v>0</v>
      </c>
      <c r="K73" s="387">
        <v>0</v>
      </c>
      <c r="L73" s="387">
        <v>0</v>
      </c>
      <c r="M73" s="387"/>
      <c r="N73" s="387" t="s">
        <v>736</v>
      </c>
      <c r="O73" s="387" t="s">
        <v>732</v>
      </c>
      <c r="P73" s="387">
        <v>0</v>
      </c>
      <c r="Q73" s="388">
        <v>37693.708333333336</v>
      </c>
      <c r="R73" s="390"/>
    </row>
    <row r="74" spans="1:18" ht="12.75" outlineLevel="3" collapsed="1">
      <c r="A74" s="380" t="s">
        <v>23</v>
      </c>
      <c r="B74" s="381" t="s">
        <v>1577</v>
      </c>
      <c r="C74" s="382">
        <f>0+C75+C76+C79+C82+C86</f>
        <v>156985.6337890625</v>
      </c>
      <c r="D74" s="382">
        <f>0+D75+D76+D79+D82+D86</f>
        <v>156985.6337890625</v>
      </c>
      <c r="E74" s="382">
        <f>0+E75+E76+E79+E82+E86</f>
        <v>50608</v>
      </c>
      <c r="F74" s="382">
        <f>0+F75+F76+F79+F82+F86</f>
        <v>0</v>
      </c>
      <c r="G74" s="382">
        <f>F74+E74</f>
        <v>50608</v>
      </c>
      <c r="H74" s="382">
        <f>D74-C74</f>
        <v>0</v>
      </c>
      <c r="I74" s="382">
        <f>D74-E74</f>
        <v>106377.6337890625</v>
      </c>
      <c r="J74" s="382">
        <f>+J75+J76+J79+J82+J86</f>
        <v>215285</v>
      </c>
      <c r="K74" s="382">
        <f>+K75+K76+K79+K82+K86</f>
        <v>224392.28415238857</v>
      </c>
      <c r="L74" s="382">
        <f>+L75+L76+L79+L82+L86</f>
        <v>162478.41495513916</v>
      </c>
      <c r="M74" s="382">
        <f aca="true" t="shared" si="2" ref="M74:M82">K74-L74</f>
        <v>61913.86919724941</v>
      </c>
      <c r="N74" s="382" t="s">
        <v>742</v>
      </c>
      <c r="O74" s="382" t="s">
        <v>732</v>
      </c>
      <c r="P74" s="382">
        <v>88</v>
      </c>
      <c r="Q74" s="383">
        <v>38168.708333333336</v>
      </c>
      <c r="R74" s="384"/>
    </row>
    <row r="75" spans="1:18" ht="12.75" hidden="1" outlineLevel="4">
      <c r="A75" s="385" t="s">
        <v>27</v>
      </c>
      <c r="B75" s="386" t="s">
        <v>1578</v>
      </c>
      <c r="C75" s="387">
        <v>4526.6455078125</v>
      </c>
      <c r="D75" s="387">
        <v>4526.6455078125</v>
      </c>
      <c r="E75" s="387">
        <v>4368</v>
      </c>
      <c r="F75" s="387">
        <v>0</v>
      </c>
      <c r="G75" s="387">
        <v>4368</v>
      </c>
      <c r="H75" s="387">
        <v>0</v>
      </c>
      <c r="I75" s="387">
        <v>158.6455078125</v>
      </c>
      <c r="J75" s="387">
        <v>4368</v>
      </c>
      <c r="K75" s="387">
        <v>4526.64563369751</v>
      </c>
      <c r="L75" s="387">
        <v>4368</v>
      </c>
      <c r="M75" s="387">
        <f t="shared" si="2"/>
        <v>158.64563369750977</v>
      </c>
      <c r="N75" s="387" t="s">
        <v>344</v>
      </c>
      <c r="O75" s="387" t="s">
        <v>732</v>
      </c>
      <c r="P75" s="387">
        <v>100</v>
      </c>
      <c r="Q75" s="388">
        <v>36406.708333333336</v>
      </c>
      <c r="R75" s="389" t="s">
        <v>733</v>
      </c>
    </row>
    <row r="76" spans="1:18" ht="12.75" hidden="1" outlineLevel="4">
      <c r="A76" s="391" t="s">
        <v>29</v>
      </c>
      <c r="B76" s="392" t="s">
        <v>1579</v>
      </c>
      <c r="C76" s="382">
        <f>0+C77+C78</f>
        <v>46240</v>
      </c>
      <c r="D76" s="382">
        <f>0+D77+D78</f>
        <v>46240</v>
      </c>
      <c r="E76" s="382">
        <f>0+E77+E78</f>
        <v>46240</v>
      </c>
      <c r="F76" s="382">
        <f>0+F77+F78</f>
        <v>0</v>
      </c>
      <c r="G76" s="382">
        <f>F76+E76</f>
        <v>46240</v>
      </c>
      <c r="H76" s="382">
        <f>D76-C76</f>
        <v>0</v>
      </c>
      <c r="I76" s="382">
        <f>D76-E76</f>
        <v>0</v>
      </c>
      <c r="J76" s="382">
        <f>+J77+J78</f>
        <v>46240</v>
      </c>
      <c r="K76" s="382">
        <f>+K77+K78</f>
        <v>46240</v>
      </c>
      <c r="L76" s="382">
        <f>0+L77+L78</f>
        <v>46240</v>
      </c>
      <c r="M76" s="382">
        <f t="shared" si="2"/>
        <v>0</v>
      </c>
      <c r="N76" s="382" t="s">
        <v>742</v>
      </c>
      <c r="O76" s="382" t="s">
        <v>732</v>
      </c>
      <c r="P76" s="382">
        <v>100</v>
      </c>
      <c r="Q76" s="383">
        <v>36756.708333333336</v>
      </c>
      <c r="R76" s="384"/>
    </row>
    <row r="77" spans="1:18" ht="12.75" hidden="1" outlineLevel="5">
      <c r="A77" s="393" t="s">
        <v>31</v>
      </c>
      <c r="B77" s="394" t="s">
        <v>1580</v>
      </c>
      <c r="C77" s="387">
        <v>21140</v>
      </c>
      <c r="D77" s="387">
        <v>21140</v>
      </c>
      <c r="E77" s="387">
        <v>21140</v>
      </c>
      <c r="F77" s="387">
        <v>0</v>
      </c>
      <c r="G77" s="387">
        <v>21140</v>
      </c>
      <c r="H77" s="387">
        <v>0</v>
      </c>
      <c r="I77" s="387">
        <v>0</v>
      </c>
      <c r="J77" s="387">
        <v>21140</v>
      </c>
      <c r="K77" s="387">
        <v>21140</v>
      </c>
      <c r="L77" s="387">
        <v>21140</v>
      </c>
      <c r="M77" s="387">
        <f t="shared" si="2"/>
        <v>0</v>
      </c>
      <c r="N77" s="387" t="s">
        <v>344</v>
      </c>
      <c r="O77" s="387" t="s">
        <v>732</v>
      </c>
      <c r="P77" s="387">
        <v>100</v>
      </c>
      <c r="Q77" s="388">
        <v>36756.708333333336</v>
      </c>
      <c r="R77" s="389" t="s">
        <v>733</v>
      </c>
    </row>
    <row r="78" spans="1:18" ht="12.75" hidden="1" outlineLevel="5">
      <c r="A78" s="393" t="s">
        <v>33</v>
      </c>
      <c r="B78" s="394" t="s">
        <v>1581</v>
      </c>
      <c r="C78" s="387">
        <v>25100</v>
      </c>
      <c r="D78" s="387">
        <v>25100</v>
      </c>
      <c r="E78" s="387">
        <v>25100</v>
      </c>
      <c r="F78" s="387">
        <v>0</v>
      </c>
      <c r="G78" s="387">
        <v>25100</v>
      </c>
      <c r="H78" s="387">
        <v>0</v>
      </c>
      <c r="I78" s="387">
        <v>0</v>
      </c>
      <c r="J78" s="387">
        <v>25100</v>
      </c>
      <c r="K78" s="387">
        <v>25100</v>
      </c>
      <c r="L78" s="387">
        <v>25100</v>
      </c>
      <c r="M78" s="387">
        <f t="shared" si="2"/>
        <v>0</v>
      </c>
      <c r="N78" s="387" t="s">
        <v>344</v>
      </c>
      <c r="O78" s="387" t="s">
        <v>732</v>
      </c>
      <c r="P78" s="387">
        <v>100</v>
      </c>
      <c r="Q78" s="388">
        <v>36700.708333333336</v>
      </c>
      <c r="R78" s="389" t="s">
        <v>733</v>
      </c>
    </row>
    <row r="79" spans="1:18" ht="12.75" hidden="1" outlineLevel="4">
      <c r="A79" s="391" t="s">
        <v>38</v>
      </c>
      <c r="B79" s="392" t="s">
        <v>1582</v>
      </c>
      <c r="C79" s="382">
        <f>0+C80+C81</f>
        <v>61755.224609375</v>
      </c>
      <c r="D79" s="382">
        <f>0+D80+D81</f>
        <v>61755.224609375</v>
      </c>
      <c r="E79" s="382">
        <f>0+E80+E81</f>
        <v>0</v>
      </c>
      <c r="F79" s="382">
        <f>0+F80+F81</f>
        <v>0</v>
      </c>
      <c r="G79" s="382">
        <f>F79+E79</f>
        <v>0</v>
      </c>
      <c r="H79" s="382">
        <f>D79-C79</f>
        <v>0</v>
      </c>
      <c r="I79" s="382">
        <f>D79-E79</f>
        <v>61755.224609375</v>
      </c>
      <c r="J79" s="382">
        <f>+J80+J81</f>
        <v>60249</v>
      </c>
      <c r="K79" s="382">
        <f>+K80+K81</f>
        <v>61755.2235635519</v>
      </c>
      <c r="L79" s="382">
        <f>0+L80+L81</f>
        <v>0</v>
      </c>
      <c r="M79" s="382">
        <f t="shared" si="2"/>
        <v>61755.2235635519</v>
      </c>
      <c r="N79" s="382" t="s">
        <v>742</v>
      </c>
      <c r="O79" s="382" t="s">
        <v>732</v>
      </c>
      <c r="P79" s="382">
        <v>100</v>
      </c>
      <c r="Q79" s="383">
        <v>37126.33361111111</v>
      </c>
      <c r="R79" s="384"/>
    </row>
    <row r="80" spans="1:18" ht="12.75" hidden="1" outlineLevel="5">
      <c r="A80" s="393" t="s">
        <v>40</v>
      </c>
      <c r="B80" s="394" t="s">
        <v>1583</v>
      </c>
      <c r="C80" s="387">
        <v>31005.224609375</v>
      </c>
      <c r="D80" s="387">
        <v>31005.224609375</v>
      </c>
      <c r="E80" s="387">
        <v>0</v>
      </c>
      <c r="F80" s="387">
        <v>0</v>
      </c>
      <c r="G80" s="387">
        <v>0</v>
      </c>
      <c r="H80" s="387">
        <v>0</v>
      </c>
      <c r="I80" s="387">
        <v>31005.224609375</v>
      </c>
      <c r="J80" s="387">
        <v>30249</v>
      </c>
      <c r="K80" s="387">
        <v>31005.22427880764</v>
      </c>
      <c r="L80" s="387">
        <v>0</v>
      </c>
      <c r="M80" s="387">
        <f t="shared" si="2"/>
        <v>31005.22427880764</v>
      </c>
      <c r="N80" s="387" t="s">
        <v>344</v>
      </c>
      <c r="O80" s="387" t="s">
        <v>732</v>
      </c>
      <c r="P80" s="387">
        <v>100</v>
      </c>
      <c r="Q80" s="388">
        <v>37126.33361111111</v>
      </c>
      <c r="R80" s="389" t="s">
        <v>733</v>
      </c>
    </row>
    <row r="81" spans="1:18" ht="12.75" hidden="1" outlineLevel="5">
      <c r="A81" s="393" t="s">
        <v>42</v>
      </c>
      <c r="B81" s="394" t="s">
        <v>1584</v>
      </c>
      <c r="C81" s="387">
        <v>30750</v>
      </c>
      <c r="D81" s="387">
        <v>30750</v>
      </c>
      <c r="E81" s="387">
        <v>0</v>
      </c>
      <c r="F81" s="387">
        <v>0</v>
      </c>
      <c r="G81" s="387">
        <v>0</v>
      </c>
      <c r="H81" s="387">
        <v>0</v>
      </c>
      <c r="I81" s="387">
        <v>30750</v>
      </c>
      <c r="J81" s="387">
        <v>30000</v>
      </c>
      <c r="K81" s="387">
        <v>30749.999284744263</v>
      </c>
      <c r="L81" s="387">
        <v>0</v>
      </c>
      <c r="M81" s="387">
        <f t="shared" si="2"/>
        <v>30749.999284744263</v>
      </c>
      <c r="N81" s="387" t="s">
        <v>344</v>
      </c>
      <c r="O81" s="387" t="s">
        <v>732</v>
      </c>
      <c r="P81" s="387">
        <v>100</v>
      </c>
      <c r="Q81" s="388">
        <v>36942.708333333336</v>
      </c>
      <c r="R81" s="389" t="s">
        <v>733</v>
      </c>
    </row>
    <row r="82" spans="1:18" ht="12.75" hidden="1" outlineLevel="4">
      <c r="A82" s="391" t="s">
        <v>44</v>
      </c>
      <c r="B82" s="392" t="s">
        <v>1585</v>
      </c>
      <c r="C82" s="382">
        <f>0+C83+C84+C85</f>
        <v>44463.763671875</v>
      </c>
      <c r="D82" s="382">
        <f>0+D83+D84+D85</f>
        <v>44463.763671875</v>
      </c>
      <c r="E82" s="382">
        <f>0+E83+E84+E85</f>
        <v>0</v>
      </c>
      <c r="F82" s="382">
        <f>0+F83+F84+F85</f>
        <v>0</v>
      </c>
      <c r="G82" s="382">
        <f>F82+E82</f>
        <v>0</v>
      </c>
      <c r="H82" s="382">
        <f>D82-C82</f>
        <v>0</v>
      </c>
      <c r="I82" s="382">
        <f>D82-E82</f>
        <v>44463.763671875</v>
      </c>
      <c r="J82" s="382">
        <f>+J83+J84+J85</f>
        <v>62280</v>
      </c>
      <c r="K82" s="382">
        <f>+K83+K84+K85</f>
        <v>65938.45920562744</v>
      </c>
      <c r="L82" s="382">
        <f>+L83+L84+L85</f>
        <v>65938.45920562744</v>
      </c>
      <c r="M82" s="382">
        <f t="shared" si="2"/>
        <v>0</v>
      </c>
      <c r="N82" s="382" t="s">
        <v>742</v>
      </c>
      <c r="O82" s="382" t="s">
        <v>732</v>
      </c>
      <c r="P82" s="382">
        <v>56</v>
      </c>
      <c r="Q82" s="383">
        <v>37802.708333333336</v>
      </c>
      <c r="R82" s="384"/>
    </row>
    <row r="83" spans="1:18" ht="12.75" hidden="1" outlineLevel="5">
      <c r="A83" s="393" t="s">
        <v>46</v>
      </c>
      <c r="B83" s="394" t="s">
        <v>1583</v>
      </c>
      <c r="C83" s="387">
        <v>22379.11328125</v>
      </c>
      <c r="D83" s="387">
        <v>22379.11328125</v>
      </c>
      <c r="E83" s="387">
        <v>0</v>
      </c>
      <c r="F83" s="387">
        <v>0</v>
      </c>
      <c r="G83" s="387">
        <v>0</v>
      </c>
      <c r="H83" s="387">
        <v>0</v>
      </c>
      <c r="I83" s="387">
        <v>22379.11328125</v>
      </c>
      <c r="J83" s="387">
        <v>21280</v>
      </c>
      <c r="K83" s="387">
        <v>22379.113006591797</v>
      </c>
      <c r="L83" s="387">
        <v>22379.113006591797</v>
      </c>
      <c r="M83" s="387"/>
      <c r="N83" s="387" t="s">
        <v>344</v>
      </c>
      <c r="O83" s="387" t="s">
        <v>732</v>
      </c>
      <c r="P83" s="387">
        <v>100</v>
      </c>
      <c r="Q83" s="388">
        <v>37427.708333333336</v>
      </c>
      <c r="R83" s="390"/>
    </row>
    <row r="84" spans="1:18" ht="12.75" hidden="1" outlineLevel="5">
      <c r="A84" s="393" t="s">
        <v>47</v>
      </c>
      <c r="B84" s="394" t="s">
        <v>1584</v>
      </c>
      <c r="C84" s="387">
        <v>22084.650390625</v>
      </c>
      <c r="D84" s="387">
        <v>22084.650390625</v>
      </c>
      <c r="E84" s="387">
        <v>0</v>
      </c>
      <c r="F84" s="387">
        <v>0</v>
      </c>
      <c r="G84" s="387">
        <v>0</v>
      </c>
      <c r="H84" s="387">
        <v>0</v>
      </c>
      <c r="I84" s="387">
        <v>22084.650390625</v>
      </c>
      <c r="J84" s="387">
        <v>21000</v>
      </c>
      <c r="K84" s="387">
        <v>22084.650993347168</v>
      </c>
      <c r="L84" s="387">
        <v>22084.650993347168</v>
      </c>
      <c r="M84" s="387"/>
      <c r="N84" s="387" t="s">
        <v>344</v>
      </c>
      <c r="O84" s="387" t="s">
        <v>732</v>
      </c>
      <c r="P84" s="387">
        <v>100</v>
      </c>
      <c r="Q84" s="388">
        <v>37427.708333333336</v>
      </c>
      <c r="R84" s="390"/>
    </row>
    <row r="85" spans="1:18" ht="12.75" hidden="1" outlineLevel="5">
      <c r="A85" s="393" t="s">
        <v>1001</v>
      </c>
      <c r="B85" s="394" t="s">
        <v>1002</v>
      </c>
      <c r="C85" s="387">
        <v>0</v>
      </c>
      <c r="D85" s="387">
        <v>0</v>
      </c>
      <c r="E85" s="387">
        <v>0</v>
      </c>
      <c r="F85" s="387">
        <v>0</v>
      </c>
      <c r="G85" s="387">
        <v>0</v>
      </c>
      <c r="H85" s="387">
        <v>0</v>
      </c>
      <c r="I85" s="387">
        <v>0</v>
      </c>
      <c r="J85" s="387">
        <v>20000</v>
      </c>
      <c r="K85" s="387">
        <v>21474.695205688477</v>
      </c>
      <c r="L85" s="387">
        <v>21474.695205688477</v>
      </c>
      <c r="M85" s="387"/>
      <c r="N85" s="387" t="s">
        <v>740</v>
      </c>
      <c r="O85" s="387" t="s">
        <v>732</v>
      </c>
      <c r="P85" s="387">
        <v>0</v>
      </c>
      <c r="Q85" s="388">
        <v>37802.708333333336</v>
      </c>
      <c r="R85" s="390"/>
    </row>
    <row r="86" spans="1:18" ht="12.75" hidden="1" outlineLevel="4">
      <c r="A86" s="391" t="s">
        <v>48</v>
      </c>
      <c r="B86" s="392" t="s">
        <v>1586</v>
      </c>
      <c r="C86" s="382">
        <f>0+C87+C88+C89+C90</f>
        <v>0</v>
      </c>
      <c r="D86" s="382">
        <f>0+D87+D88+D89+D90</f>
        <v>0</v>
      </c>
      <c r="E86" s="382">
        <f>0+E87+E88+E89+E90</f>
        <v>0</v>
      </c>
      <c r="F86" s="382">
        <f>0+F87+F88+F89+F90</f>
        <v>0</v>
      </c>
      <c r="G86" s="382">
        <f>F86+E86</f>
        <v>0</v>
      </c>
      <c r="H86" s="382">
        <f>D86-C86</f>
        <v>0</v>
      </c>
      <c r="I86" s="382">
        <f>D86-E86</f>
        <v>0</v>
      </c>
      <c r="J86" s="382">
        <f>+J87+J88+J89+J90</f>
        <v>42148</v>
      </c>
      <c r="K86" s="382">
        <f>+K87+K88+K89+K90</f>
        <v>45931.95574951172</v>
      </c>
      <c r="L86" s="382">
        <f>+L87+L88+L89+L90</f>
        <v>45931.95574951172</v>
      </c>
      <c r="M86" s="382">
        <f>K86-L86</f>
        <v>0</v>
      </c>
      <c r="N86" s="382" t="s">
        <v>1003</v>
      </c>
      <c r="O86" s="382" t="s">
        <v>732</v>
      </c>
      <c r="P86" s="382">
        <v>0</v>
      </c>
      <c r="Q86" s="383">
        <v>38168.708333333336</v>
      </c>
      <c r="R86" s="384"/>
    </row>
    <row r="87" spans="1:18" ht="12.75" hidden="1" outlineLevel="5">
      <c r="A87" s="393" t="s">
        <v>50</v>
      </c>
      <c r="B87" s="394" t="s">
        <v>1587</v>
      </c>
      <c r="C87" s="387">
        <v>0</v>
      </c>
      <c r="D87" s="387">
        <v>0</v>
      </c>
      <c r="E87" s="387">
        <v>0</v>
      </c>
      <c r="F87" s="387">
        <v>0</v>
      </c>
      <c r="G87" s="387">
        <v>0</v>
      </c>
      <c r="H87" s="387">
        <v>0</v>
      </c>
      <c r="I87" s="387">
        <v>0</v>
      </c>
      <c r="J87" s="387">
        <v>16500</v>
      </c>
      <c r="K87" s="387">
        <v>17716.623544692993</v>
      </c>
      <c r="L87" s="387">
        <v>17716.623544692993</v>
      </c>
      <c r="M87" s="387"/>
      <c r="N87" s="387" t="s">
        <v>740</v>
      </c>
      <c r="O87" s="387" t="s">
        <v>732</v>
      </c>
      <c r="P87" s="387">
        <v>0</v>
      </c>
      <c r="Q87" s="388">
        <v>37894.48486111111</v>
      </c>
      <c r="R87" s="390"/>
    </row>
    <row r="88" spans="1:18" ht="12.75" hidden="1" outlineLevel="5">
      <c r="A88" s="393" t="s">
        <v>51</v>
      </c>
      <c r="B88" s="394" t="s">
        <v>1588</v>
      </c>
      <c r="C88" s="387">
        <v>0</v>
      </c>
      <c r="D88" s="387">
        <v>0</v>
      </c>
      <c r="E88" s="387">
        <v>0</v>
      </c>
      <c r="F88" s="387">
        <v>0</v>
      </c>
      <c r="G88" s="387">
        <v>0</v>
      </c>
      <c r="H88" s="387">
        <v>0</v>
      </c>
      <c r="I88" s="387">
        <v>0</v>
      </c>
      <c r="J88" s="387">
        <v>25648</v>
      </c>
      <c r="K88" s="387">
        <v>28215.332204818726</v>
      </c>
      <c r="L88" s="387">
        <v>28215.332204818726</v>
      </c>
      <c r="M88" s="387"/>
      <c r="N88" s="387" t="s">
        <v>740</v>
      </c>
      <c r="O88" s="387" t="s">
        <v>732</v>
      </c>
      <c r="P88" s="387">
        <v>0</v>
      </c>
      <c r="Q88" s="388">
        <v>37950.48486111111</v>
      </c>
      <c r="R88" s="390"/>
    </row>
    <row r="89" spans="1:18" ht="12.75" hidden="1" outlineLevel="5">
      <c r="A89" s="393" t="s">
        <v>53</v>
      </c>
      <c r="B89" s="394" t="s">
        <v>1589</v>
      </c>
      <c r="C89" s="387">
        <v>0</v>
      </c>
      <c r="D89" s="387">
        <v>0</v>
      </c>
      <c r="E89" s="387">
        <v>0</v>
      </c>
      <c r="F89" s="387">
        <v>0</v>
      </c>
      <c r="G89" s="387">
        <v>0</v>
      </c>
      <c r="H89" s="387">
        <v>0</v>
      </c>
      <c r="I89" s="387">
        <v>0</v>
      </c>
      <c r="J89" s="387">
        <v>0</v>
      </c>
      <c r="K89" s="387">
        <v>0</v>
      </c>
      <c r="L89" s="387">
        <v>0</v>
      </c>
      <c r="M89" s="387"/>
      <c r="N89" s="387" t="s">
        <v>740</v>
      </c>
      <c r="O89" s="387" t="s">
        <v>732</v>
      </c>
      <c r="P89" s="387">
        <v>0</v>
      </c>
      <c r="Q89" s="388">
        <v>37964.48486111111</v>
      </c>
      <c r="R89" s="390"/>
    </row>
    <row r="90" spans="1:18" ht="12.75" hidden="1" outlineLevel="5">
      <c r="A90" s="393" t="s">
        <v>55</v>
      </c>
      <c r="B90" s="394" t="s">
        <v>1795</v>
      </c>
      <c r="C90" s="387">
        <v>0</v>
      </c>
      <c r="D90" s="387">
        <v>0</v>
      </c>
      <c r="E90" s="387">
        <v>0</v>
      </c>
      <c r="F90" s="387">
        <v>0</v>
      </c>
      <c r="G90" s="387">
        <v>0</v>
      </c>
      <c r="H90" s="387">
        <v>0</v>
      </c>
      <c r="I90" s="387">
        <v>0</v>
      </c>
      <c r="J90" s="387">
        <v>0</v>
      </c>
      <c r="K90" s="387">
        <v>0</v>
      </c>
      <c r="L90" s="387">
        <v>0</v>
      </c>
      <c r="M90" s="387"/>
      <c r="N90" s="387" t="s">
        <v>740</v>
      </c>
      <c r="O90" s="387" t="s">
        <v>732</v>
      </c>
      <c r="P90" s="387">
        <v>0</v>
      </c>
      <c r="Q90" s="388">
        <v>38168.708333333336</v>
      </c>
      <c r="R90" s="390"/>
    </row>
    <row r="91" spans="1:18" ht="12.75" outlineLevel="3" collapsed="1">
      <c r="A91" s="380" t="s">
        <v>56</v>
      </c>
      <c r="B91" s="381" t="s">
        <v>57</v>
      </c>
      <c r="C91" s="382">
        <f>0+C92+C98+C103+C106+C111+C112+C113+C114+C115+C116+C117+C118+C119</f>
        <v>358946.33203125</v>
      </c>
      <c r="D91" s="382">
        <f>0+D92+D98+D103+D106+D111+D112+D113+D114+D115+D116+D117+D118+D119</f>
        <v>350810.857421875</v>
      </c>
      <c r="E91" s="382">
        <f>0+E92+E98+E103+E106+E111+E112+E113+E114+E115+E116+E117+E118+E119</f>
        <v>215094.47045898438</v>
      </c>
      <c r="F91" s="382">
        <f>0+F92+F98+F103+F106+F111+F112+F113+F114+F115+F116+F117+F118+F119</f>
        <v>108115.09</v>
      </c>
      <c r="G91" s="382">
        <f>F91+E91</f>
        <v>323209.56045898434</v>
      </c>
      <c r="H91" s="382">
        <f>D91-C91</f>
        <v>-8135.474609375</v>
      </c>
      <c r="I91" s="382">
        <f>D91-E91</f>
        <v>135716.38696289062</v>
      </c>
      <c r="J91" s="382">
        <f>+J92+J98+J103+J106+J111+J112+J113+J114+J115+J116+J117+J118+J119</f>
        <v>355782.32</v>
      </c>
      <c r="K91" s="382">
        <f>+K92+K98+K103+K106+K111+K112+K113+K114+K115+K116+K117+K118+K119</f>
        <v>362295.10854966164</v>
      </c>
      <c r="L91" s="382">
        <f>+L92+L98+L103+L106+L111+L112+L113+L114+L115+L116+L117+L118+L119</f>
        <v>332824.45060081483</v>
      </c>
      <c r="M91" s="382">
        <f aca="true" t="shared" si="3" ref="M91:M103">K91-L91</f>
        <v>29470.657948846812</v>
      </c>
      <c r="N91" s="382" t="s">
        <v>768</v>
      </c>
      <c r="O91" s="382" t="s">
        <v>732</v>
      </c>
      <c r="P91" s="382">
        <v>95</v>
      </c>
      <c r="Q91" s="383">
        <v>38072.5</v>
      </c>
      <c r="R91" s="384"/>
    </row>
    <row r="92" spans="1:18" ht="12.75" hidden="1" outlineLevel="4">
      <c r="A92" s="391" t="s">
        <v>58</v>
      </c>
      <c r="B92" s="392" t="s">
        <v>59</v>
      </c>
      <c r="C92" s="382">
        <f>0+C93+C94+C95+C96+C97</f>
        <v>79559.37109375</v>
      </c>
      <c r="D92" s="382">
        <f>0+D93+D94+D95+D96+D97</f>
        <v>79559.37109375</v>
      </c>
      <c r="E92" s="382">
        <f>0+E93+E94+E95+E96+E97</f>
        <v>68924.05053710938</v>
      </c>
      <c r="F92" s="382">
        <f>0+F93+F94+F95+F96+F97</f>
        <v>4962.1</v>
      </c>
      <c r="G92" s="382">
        <f>F92+E92</f>
        <v>73886.15053710938</v>
      </c>
      <c r="H92" s="382">
        <f>D92-C92</f>
        <v>0</v>
      </c>
      <c r="I92" s="382">
        <f>D92-E92</f>
        <v>10635.320556640625</v>
      </c>
      <c r="J92" s="382">
        <f>+J93+J94+J95+J96+J97</f>
        <v>79264.12</v>
      </c>
      <c r="K92" s="382">
        <f>+K93+K94+K95+K96+K97</f>
        <v>79559.36971842765</v>
      </c>
      <c r="L92" s="382">
        <f>0+L93+L94+L95+L96+L97</f>
        <v>68924.05053710938</v>
      </c>
      <c r="M92" s="382">
        <f t="shared" si="3"/>
        <v>10635.319181318278</v>
      </c>
      <c r="N92" s="382" t="s">
        <v>768</v>
      </c>
      <c r="O92" s="382" t="s">
        <v>732</v>
      </c>
      <c r="P92" s="382">
        <v>100</v>
      </c>
      <c r="Q92" s="383">
        <v>36839.708333333336</v>
      </c>
      <c r="R92" s="384"/>
    </row>
    <row r="93" spans="1:18" ht="12.75" hidden="1" outlineLevel="5">
      <c r="A93" s="393" t="s">
        <v>60</v>
      </c>
      <c r="B93" s="394" t="s">
        <v>61</v>
      </c>
      <c r="C93" s="387">
        <v>63072.12109375</v>
      </c>
      <c r="D93" s="387">
        <v>63072.12109375</v>
      </c>
      <c r="E93" s="387">
        <v>57765.80078125</v>
      </c>
      <c r="F93" s="387">
        <v>2304.29</v>
      </c>
      <c r="G93" s="387">
        <v>60070.09078125</v>
      </c>
      <c r="H93" s="387">
        <v>0</v>
      </c>
      <c r="I93" s="387">
        <v>5306.3203125</v>
      </c>
      <c r="J93" s="387">
        <v>63072.12</v>
      </c>
      <c r="K93" s="387">
        <v>63072.12</v>
      </c>
      <c r="L93" s="387">
        <v>57765.80078125</v>
      </c>
      <c r="M93" s="387">
        <f t="shared" si="3"/>
        <v>5306.319218750003</v>
      </c>
      <c r="N93" s="387" t="s">
        <v>736</v>
      </c>
      <c r="O93" s="387" t="s">
        <v>732</v>
      </c>
      <c r="P93" s="387">
        <v>100</v>
      </c>
      <c r="Q93" s="388">
        <v>36742.708333333336</v>
      </c>
      <c r="R93" s="389" t="s">
        <v>733</v>
      </c>
    </row>
    <row r="94" spans="1:18" ht="12.75" hidden="1" outlineLevel="5">
      <c r="A94" s="393" t="s">
        <v>62</v>
      </c>
      <c r="B94" s="394" t="s">
        <v>63</v>
      </c>
      <c r="C94" s="387">
        <v>4382</v>
      </c>
      <c r="D94" s="387">
        <v>4382</v>
      </c>
      <c r="E94" s="387">
        <v>3072.239990234375</v>
      </c>
      <c r="F94" s="387">
        <v>914.16</v>
      </c>
      <c r="G94" s="387">
        <v>3986.399990234375</v>
      </c>
      <c r="H94" s="387">
        <v>0</v>
      </c>
      <c r="I94" s="387">
        <v>1309.760009765625</v>
      </c>
      <c r="J94" s="387">
        <v>4382</v>
      </c>
      <c r="K94" s="387">
        <v>4382</v>
      </c>
      <c r="L94" s="387">
        <v>3072.239990234375</v>
      </c>
      <c r="M94" s="387">
        <f t="shared" si="3"/>
        <v>1309.760009765625</v>
      </c>
      <c r="N94" s="387" t="s">
        <v>736</v>
      </c>
      <c r="O94" s="387" t="s">
        <v>732</v>
      </c>
      <c r="P94" s="387">
        <v>100</v>
      </c>
      <c r="Q94" s="388">
        <v>36755.708333333336</v>
      </c>
      <c r="R94" s="389" t="s">
        <v>733</v>
      </c>
    </row>
    <row r="95" spans="1:18" ht="12.75" hidden="1" outlineLevel="5">
      <c r="A95" s="393" t="s">
        <v>1590</v>
      </c>
      <c r="B95" s="394" t="s">
        <v>1591</v>
      </c>
      <c r="C95" s="387">
        <v>0</v>
      </c>
      <c r="D95" s="387">
        <v>0</v>
      </c>
      <c r="E95" s="387">
        <v>0</v>
      </c>
      <c r="F95" s="387">
        <v>0</v>
      </c>
      <c r="G95" s="387">
        <v>0</v>
      </c>
      <c r="H95" s="387">
        <v>0</v>
      </c>
      <c r="I95" s="387">
        <v>0</v>
      </c>
      <c r="J95" s="387">
        <v>0</v>
      </c>
      <c r="K95" s="387">
        <v>0</v>
      </c>
      <c r="L95" s="387">
        <v>0</v>
      </c>
      <c r="M95" s="387">
        <f t="shared" si="3"/>
        <v>0</v>
      </c>
      <c r="N95" s="387" t="s">
        <v>736</v>
      </c>
      <c r="O95" s="387" t="s">
        <v>732</v>
      </c>
      <c r="P95" s="387">
        <v>100</v>
      </c>
      <c r="Q95" s="388">
        <v>36783.708333333336</v>
      </c>
      <c r="R95" s="389" t="s">
        <v>733</v>
      </c>
    </row>
    <row r="96" spans="1:18" ht="12.75" hidden="1" outlineLevel="5">
      <c r="A96" s="393" t="s">
        <v>1592</v>
      </c>
      <c r="B96" s="394" t="s">
        <v>1593</v>
      </c>
      <c r="C96" s="387">
        <v>0</v>
      </c>
      <c r="D96" s="387">
        <v>0</v>
      </c>
      <c r="E96" s="387">
        <v>0</v>
      </c>
      <c r="F96" s="387">
        <v>0</v>
      </c>
      <c r="G96" s="387">
        <v>0</v>
      </c>
      <c r="H96" s="387">
        <v>0</v>
      </c>
      <c r="I96" s="387">
        <v>0</v>
      </c>
      <c r="J96" s="387">
        <v>0</v>
      </c>
      <c r="K96" s="387">
        <v>0</v>
      </c>
      <c r="L96" s="387">
        <v>0</v>
      </c>
      <c r="M96" s="387">
        <f t="shared" si="3"/>
        <v>0</v>
      </c>
      <c r="N96" s="387" t="s">
        <v>736</v>
      </c>
      <c r="O96" s="387" t="s">
        <v>732</v>
      </c>
      <c r="P96" s="387">
        <v>100</v>
      </c>
      <c r="Q96" s="388">
        <v>36811.708333333336</v>
      </c>
      <c r="R96" s="389" t="s">
        <v>733</v>
      </c>
    </row>
    <row r="97" spans="1:18" ht="12.75" hidden="1" outlineLevel="5">
      <c r="A97" s="393" t="s">
        <v>64</v>
      </c>
      <c r="B97" s="394" t="s">
        <v>65</v>
      </c>
      <c r="C97" s="387">
        <v>12105.25</v>
      </c>
      <c r="D97" s="387">
        <v>12105.25</v>
      </c>
      <c r="E97" s="387">
        <v>8086.009765625</v>
      </c>
      <c r="F97" s="387">
        <v>1743.65</v>
      </c>
      <c r="G97" s="387">
        <v>9829.659765625</v>
      </c>
      <c r="H97" s="387">
        <v>0</v>
      </c>
      <c r="I97" s="387">
        <v>4019.240234375</v>
      </c>
      <c r="J97" s="387">
        <v>11810</v>
      </c>
      <c r="K97" s="387">
        <v>12105.249718427658</v>
      </c>
      <c r="L97" s="387">
        <v>8086.009765625</v>
      </c>
      <c r="M97" s="387">
        <f t="shared" si="3"/>
        <v>4019.239952802658</v>
      </c>
      <c r="N97" s="387" t="s">
        <v>736</v>
      </c>
      <c r="O97" s="387" t="s">
        <v>732</v>
      </c>
      <c r="P97" s="387">
        <v>100</v>
      </c>
      <c r="Q97" s="388">
        <v>36839.708333333336</v>
      </c>
      <c r="R97" s="389" t="s">
        <v>733</v>
      </c>
    </row>
    <row r="98" spans="1:18" ht="12.75" hidden="1" outlineLevel="4">
      <c r="A98" s="391" t="s">
        <v>66</v>
      </c>
      <c r="B98" s="392" t="s">
        <v>67</v>
      </c>
      <c r="C98" s="382">
        <f>0+C99+C100+C101+C102</f>
        <v>64359</v>
      </c>
      <c r="D98" s="382">
        <f>0+D99+D100+D101+D102</f>
        <v>64359</v>
      </c>
      <c r="E98" s="382">
        <f>0+E99+E100+E101+E102</f>
        <v>48024.16015625</v>
      </c>
      <c r="F98" s="382">
        <f>0+F99+F100+F101+F102</f>
        <v>18876.99</v>
      </c>
      <c r="G98" s="382">
        <f>F98+E98</f>
        <v>66901.15015625</v>
      </c>
      <c r="H98" s="382">
        <f>D98-C98</f>
        <v>0</v>
      </c>
      <c r="I98" s="382">
        <f>D98-E98</f>
        <v>16334.83984375</v>
      </c>
      <c r="J98" s="382">
        <f>+J99+J100+J101+J102</f>
        <v>64359</v>
      </c>
      <c r="K98" s="382">
        <f>+K99+K100+K101+K102</f>
        <v>64359</v>
      </c>
      <c r="L98" s="382">
        <f>0+L99+L100+L101+L102</f>
        <v>48024.16015625</v>
      </c>
      <c r="M98" s="382">
        <f t="shared" si="3"/>
        <v>16334.83984375</v>
      </c>
      <c r="N98" s="382" t="s">
        <v>768</v>
      </c>
      <c r="O98" s="382" t="s">
        <v>732</v>
      </c>
      <c r="P98" s="382">
        <v>100</v>
      </c>
      <c r="Q98" s="383">
        <v>36811.708333333336</v>
      </c>
      <c r="R98" s="384"/>
    </row>
    <row r="99" spans="1:18" ht="12.75" hidden="1" outlineLevel="5">
      <c r="A99" s="393" t="s">
        <v>68</v>
      </c>
      <c r="B99" s="394" t="s">
        <v>69</v>
      </c>
      <c r="C99" s="387">
        <v>50184</v>
      </c>
      <c r="D99" s="387">
        <v>50184</v>
      </c>
      <c r="E99" s="387">
        <v>36745.5</v>
      </c>
      <c r="F99" s="387">
        <v>17375.54</v>
      </c>
      <c r="G99" s="387">
        <v>54121.04</v>
      </c>
      <c r="H99" s="387">
        <v>0</v>
      </c>
      <c r="I99" s="387">
        <v>13438.5</v>
      </c>
      <c r="J99" s="387">
        <v>50184</v>
      </c>
      <c r="K99" s="387">
        <v>50184</v>
      </c>
      <c r="L99" s="387">
        <v>36745.5</v>
      </c>
      <c r="M99" s="387">
        <f t="shared" si="3"/>
        <v>13438.5</v>
      </c>
      <c r="N99" s="387" t="s">
        <v>736</v>
      </c>
      <c r="O99" s="387" t="s">
        <v>732</v>
      </c>
      <c r="P99" s="387">
        <v>100</v>
      </c>
      <c r="Q99" s="388">
        <v>36727.708333333336</v>
      </c>
      <c r="R99" s="389" t="s">
        <v>733</v>
      </c>
    </row>
    <row r="100" spans="1:18" ht="12.75" hidden="1" outlineLevel="5">
      <c r="A100" s="393" t="s">
        <v>70</v>
      </c>
      <c r="B100" s="394" t="s">
        <v>71</v>
      </c>
      <c r="C100" s="387">
        <v>14175</v>
      </c>
      <c r="D100" s="387">
        <v>14175</v>
      </c>
      <c r="E100" s="387">
        <v>11278.66015625</v>
      </c>
      <c r="F100" s="387">
        <v>1501.45</v>
      </c>
      <c r="G100" s="387">
        <v>12780.11015625</v>
      </c>
      <c r="H100" s="387">
        <v>0</v>
      </c>
      <c r="I100" s="387">
        <v>2896.33984375</v>
      </c>
      <c r="J100" s="387">
        <v>14175</v>
      </c>
      <c r="K100" s="387">
        <v>14175</v>
      </c>
      <c r="L100" s="387">
        <v>11278.66015625</v>
      </c>
      <c r="M100" s="387">
        <f t="shared" si="3"/>
        <v>2896.33984375</v>
      </c>
      <c r="N100" s="387" t="s">
        <v>736</v>
      </c>
      <c r="O100" s="387" t="s">
        <v>732</v>
      </c>
      <c r="P100" s="387">
        <v>100</v>
      </c>
      <c r="Q100" s="388">
        <v>36755.708333333336</v>
      </c>
      <c r="R100" s="389" t="s">
        <v>733</v>
      </c>
    </row>
    <row r="101" spans="1:18" ht="12.75" hidden="1" outlineLevel="5">
      <c r="A101" s="393" t="s">
        <v>1594</v>
      </c>
      <c r="B101" s="394" t="s">
        <v>1595</v>
      </c>
      <c r="C101" s="387">
        <v>0</v>
      </c>
      <c r="D101" s="387">
        <v>0</v>
      </c>
      <c r="E101" s="387">
        <v>0</v>
      </c>
      <c r="F101" s="387">
        <v>0</v>
      </c>
      <c r="G101" s="387">
        <v>0</v>
      </c>
      <c r="H101" s="387">
        <v>0</v>
      </c>
      <c r="I101" s="387">
        <v>0</v>
      </c>
      <c r="J101" s="387">
        <v>0</v>
      </c>
      <c r="K101" s="387">
        <v>0</v>
      </c>
      <c r="L101" s="387">
        <v>0</v>
      </c>
      <c r="M101" s="387">
        <f t="shared" si="3"/>
        <v>0</v>
      </c>
      <c r="N101" s="387" t="s">
        <v>736</v>
      </c>
      <c r="O101" s="387" t="s">
        <v>732</v>
      </c>
      <c r="P101" s="387">
        <v>100</v>
      </c>
      <c r="Q101" s="388">
        <v>36783.708333333336</v>
      </c>
      <c r="R101" s="389" t="s">
        <v>733</v>
      </c>
    </row>
    <row r="102" spans="1:18" ht="12.75" hidden="1" outlineLevel="5">
      <c r="A102" s="393" t="s">
        <v>1596</v>
      </c>
      <c r="B102" s="394" t="s">
        <v>73</v>
      </c>
      <c r="C102" s="387">
        <v>0</v>
      </c>
      <c r="D102" s="387">
        <v>0</v>
      </c>
      <c r="E102" s="387">
        <v>0</v>
      </c>
      <c r="F102" s="387">
        <v>0</v>
      </c>
      <c r="G102" s="387">
        <v>0</v>
      </c>
      <c r="H102" s="387">
        <v>0</v>
      </c>
      <c r="I102" s="387">
        <v>0</v>
      </c>
      <c r="J102" s="387">
        <v>0</v>
      </c>
      <c r="K102" s="387">
        <v>0</v>
      </c>
      <c r="L102" s="387">
        <v>0</v>
      </c>
      <c r="M102" s="387">
        <f t="shared" si="3"/>
        <v>0</v>
      </c>
      <c r="N102" s="387" t="s">
        <v>736</v>
      </c>
      <c r="O102" s="387" t="s">
        <v>732</v>
      </c>
      <c r="P102" s="387">
        <v>100</v>
      </c>
      <c r="Q102" s="388">
        <v>36811.708333333336</v>
      </c>
      <c r="R102" s="389" t="s">
        <v>733</v>
      </c>
    </row>
    <row r="103" spans="1:18" ht="12.75" hidden="1" outlineLevel="4">
      <c r="A103" s="391" t="s">
        <v>74</v>
      </c>
      <c r="B103" s="392" t="s">
        <v>75</v>
      </c>
      <c r="C103" s="382">
        <f>0+C104+C105</f>
        <v>47891.87890625</v>
      </c>
      <c r="D103" s="382">
        <f>0+D104+D105</f>
        <v>43313.505859375</v>
      </c>
      <c r="E103" s="382">
        <f>0+E104+E105</f>
        <v>30738.259765625</v>
      </c>
      <c r="F103" s="382">
        <f>0+F104+F105</f>
        <v>2142</v>
      </c>
      <c r="G103" s="382">
        <f>F103+E103</f>
        <v>32880.259765625</v>
      </c>
      <c r="H103" s="382">
        <f>D103-C103</f>
        <v>-4578.373046875</v>
      </c>
      <c r="I103" s="382">
        <f>D103-E103</f>
        <v>12575.24609375</v>
      </c>
      <c r="J103" s="382">
        <f>+J104+J105</f>
        <v>47831.2</v>
      </c>
      <c r="K103" s="382">
        <f>+K104+K105</f>
        <v>47891.880103778836</v>
      </c>
      <c r="L103" s="382">
        <f>+L104+L105</f>
        <v>47891.880103778836</v>
      </c>
      <c r="M103" s="382">
        <f t="shared" si="3"/>
        <v>0</v>
      </c>
      <c r="N103" s="382" t="s">
        <v>770</v>
      </c>
      <c r="O103" s="382" t="s">
        <v>732</v>
      </c>
      <c r="P103" s="382">
        <v>82</v>
      </c>
      <c r="Q103" s="383">
        <v>38072.5</v>
      </c>
      <c r="R103" s="384"/>
    </row>
    <row r="104" spans="1:18" ht="12.75" hidden="1" outlineLevel="5">
      <c r="A104" s="393" t="s">
        <v>76</v>
      </c>
      <c r="B104" s="394" t="s">
        <v>75</v>
      </c>
      <c r="C104" s="387">
        <v>25000</v>
      </c>
      <c r="D104" s="387">
        <v>25000</v>
      </c>
      <c r="E104" s="387">
        <v>16000.4599609375</v>
      </c>
      <c r="F104" s="387">
        <v>0</v>
      </c>
      <c r="G104" s="387">
        <v>16000.4599609375</v>
      </c>
      <c r="H104" s="387">
        <v>0</v>
      </c>
      <c r="I104" s="387">
        <v>8999.5400390625</v>
      </c>
      <c r="J104" s="387">
        <v>25000</v>
      </c>
      <c r="K104" s="387">
        <v>25000</v>
      </c>
      <c r="L104" s="387">
        <v>25000</v>
      </c>
      <c r="M104" s="387"/>
      <c r="N104" s="387" t="s">
        <v>737</v>
      </c>
      <c r="O104" s="387" t="s">
        <v>732</v>
      </c>
      <c r="P104" s="387">
        <v>90</v>
      </c>
      <c r="Q104" s="388">
        <v>38072.5</v>
      </c>
      <c r="R104" s="390"/>
    </row>
    <row r="105" spans="1:18" ht="12.75" hidden="1" outlineLevel="5">
      <c r="A105" s="393" t="s">
        <v>77</v>
      </c>
      <c r="B105" s="394" t="s">
        <v>78</v>
      </c>
      <c r="C105" s="387">
        <v>22891.87890625</v>
      </c>
      <c r="D105" s="387">
        <v>18313.505859375</v>
      </c>
      <c r="E105" s="387">
        <v>14737.7998046875</v>
      </c>
      <c r="F105" s="387">
        <v>2142</v>
      </c>
      <c r="G105" s="387">
        <v>16879.7998046875</v>
      </c>
      <c r="H105" s="387">
        <v>-4578.373046875</v>
      </c>
      <c r="I105" s="387">
        <v>3575.7060546875</v>
      </c>
      <c r="J105" s="387">
        <v>22831.2</v>
      </c>
      <c r="K105" s="387">
        <v>22891.88010377884</v>
      </c>
      <c r="L105" s="387">
        <v>22891.88010377884</v>
      </c>
      <c r="M105" s="387"/>
      <c r="N105" s="387" t="s">
        <v>737</v>
      </c>
      <c r="O105" s="387" t="s">
        <v>732</v>
      </c>
      <c r="P105" s="387">
        <v>80</v>
      </c>
      <c r="Q105" s="388">
        <v>36832.708333333336</v>
      </c>
      <c r="R105" s="390"/>
    </row>
    <row r="106" spans="1:18" ht="12.75" hidden="1" outlineLevel="4">
      <c r="A106" s="391" t="s">
        <v>79</v>
      </c>
      <c r="B106" s="392" t="s">
        <v>1597</v>
      </c>
      <c r="C106" s="382">
        <f>0+C107+C108+C109+C110</f>
        <v>23640</v>
      </c>
      <c r="D106" s="382">
        <f>0+D107+D108+D109+D110</f>
        <v>23640</v>
      </c>
      <c r="E106" s="382">
        <f>0+E107+E108+E109+E110</f>
        <v>21140</v>
      </c>
      <c r="F106" s="382">
        <f>0+F107+F108+F109+F110</f>
        <v>0</v>
      </c>
      <c r="G106" s="382">
        <f>F106+E106</f>
        <v>21140</v>
      </c>
      <c r="H106" s="382">
        <f>D106-C106</f>
        <v>0</v>
      </c>
      <c r="I106" s="382">
        <f>D106-E106</f>
        <v>2500</v>
      </c>
      <c r="J106" s="382">
        <f>+J107+J108+J109+J110</f>
        <v>23640</v>
      </c>
      <c r="K106" s="382">
        <f>+K107+K108+K109+K110</f>
        <v>23640</v>
      </c>
      <c r="L106" s="382">
        <f>0+L107+L108+L109+L110</f>
        <v>21140</v>
      </c>
      <c r="M106" s="382">
        <f aca="true" t="shared" si="4" ref="M106:M111">K106-L106</f>
        <v>2500</v>
      </c>
      <c r="N106" s="382" t="s">
        <v>742</v>
      </c>
      <c r="O106" s="382" t="s">
        <v>732</v>
      </c>
      <c r="P106" s="382">
        <v>100</v>
      </c>
      <c r="Q106" s="383">
        <v>36671.708333333336</v>
      </c>
      <c r="R106" s="384"/>
    </row>
    <row r="107" spans="1:18" ht="12.75" hidden="1" outlineLevel="5">
      <c r="A107" s="393" t="s">
        <v>81</v>
      </c>
      <c r="B107" s="394" t="s">
        <v>1598</v>
      </c>
      <c r="C107" s="387">
        <v>21140</v>
      </c>
      <c r="D107" s="387">
        <v>21140</v>
      </c>
      <c r="E107" s="387">
        <v>21140</v>
      </c>
      <c r="F107" s="387">
        <v>0</v>
      </c>
      <c r="G107" s="387">
        <v>21140</v>
      </c>
      <c r="H107" s="387">
        <v>0</v>
      </c>
      <c r="I107" s="387">
        <v>0</v>
      </c>
      <c r="J107" s="387">
        <v>21140</v>
      </c>
      <c r="K107" s="387">
        <v>21140</v>
      </c>
      <c r="L107" s="387">
        <v>21140</v>
      </c>
      <c r="M107" s="387">
        <f t="shared" si="4"/>
        <v>0</v>
      </c>
      <c r="N107" s="387" t="s">
        <v>344</v>
      </c>
      <c r="O107" s="387" t="s">
        <v>732</v>
      </c>
      <c r="P107" s="387">
        <v>100</v>
      </c>
      <c r="Q107" s="388">
        <v>36587.708333333336</v>
      </c>
      <c r="R107" s="389" t="s">
        <v>733</v>
      </c>
    </row>
    <row r="108" spans="1:18" ht="12.75" hidden="1" outlineLevel="5">
      <c r="A108" s="393" t="s">
        <v>83</v>
      </c>
      <c r="B108" s="394" t="s">
        <v>1599</v>
      </c>
      <c r="C108" s="387">
        <v>2500</v>
      </c>
      <c r="D108" s="387">
        <v>2500</v>
      </c>
      <c r="E108" s="387">
        <v>0</v>
      </c>
      <c r="F108" s="387">
        <v>0</v>
      </c>
      <c r="G108" s="387">
        <v>0</v>
      </c>
      <c r="H108" s="387">
        <v>0</v>
      </c>
      <c r="I108" s="387">
        <v>2500</v>
      </c>
      <c r="J108" s="387">
        <v>2500</v>
      </c>
      <c r="K108" s="387">
        <v>2500</v>
      </c>
      <c r="L108" s="387">
        <v>0</v>
      </c>
      <c r="M108" s="387">
        <f t="shared" si="4"/>
        <v>2500</v>
      </c>
      <c r="N108" s="387" t="s">
        <v>344</v>
      </c>
      <c r="O108" s="387" t="s">
        <v>732</v>
      </c>
      <c r="P108" s="387">
        <v>100</v>
      </c>
      <c r="Q108" s="388">
        <v>36615.708333333336</v>
      </c>
      <c r="R108" s="389" t="s">
        <v>733</v>
      </c>
    </row>
    <row r="109" spans="1:18" ht="12.75" hidden="1" outlineLevel="5">
      <c r="A109" s="393" t="s">
        <v>85</v>
      </c>
      <c r="B109" s="394" t="s">
        <v>1597</v>
      </c>
      <c r="C109" s="387">
        <v>0</v>
      </c>
      <c r="D109" s="387">
        <v>0</v>
      </c>
      <c r="E109" s="387">
        <v>0</v>
      </c>
      <c r="F109" s="387">
        <v>0</v>
      </c>
      <c r="G109" s="387">
        <v>0</v>
      </c>
      <c r="H109" s="387">
        <v>0</v>
      </c>
      <c r="I109" s="387">
        <v>0</v>
      </c>
      <c r="J109" s="387">
        <v>0</v>
      </c>
      <c r="K109" s="387">
        <v>0</v>
      </c>
      <c r="L109" s="387">
        <v>0</v>
      </c>
      <c r="M109" s="387">
        <f t="shared" si="4"/>
        <v>0</v>
      </c>
      <c r="N109" s="387" t="s">
        <v>344</v>
      </c>
      <c r="O109" s="387" t="s">
        <v>732</v>
      </c>
      <c r="P109" s="387">
        <v>100</v>
      </c>
      <c r="Q109" s="388">
        <v>36643.708333333336</v>
      </c>
      <c r="R109" s="389" t="s">
        <v>733</v>
      </c>
    </row>
    <row r="110" spans="1:18" ht="12.75" hidden="1" outlineLevel="5">
      <c r="A110" s="393" t="s">
        <v>86</v>
      </c>
      <c r="B110" s="394" t="s">
        <v>73</v>
      </c>
      <c r="C110" s="387">
        <v>0</v>
      </c>
      <c r="D110" s="387">
        <v>0</v>
      </c>
      <c r="E110" s="387">
        <v>0</v>
      </c>
      <c r="F110" s="387">
        <v>0</v>
      </c>
      <c r="G110" s="387">
        <v>0</v>
      </c>
      <c r="H110" s="387">
        <v>0</v>
      </c>
      <c r="I110" s="387">
        <v>0</v>
      </c>
      <c r="J110" s="387">
        <v>0</v>
      </c>
      <c r="K110" s="387">
        <v>0</v>
      </c>
      <c r="L110" s="387">
        <v>0</v>
      </c>
      <c r="M110" s="387">
        <f t="shared" si="4"/>
        <v>0</v>
      </c>
      <c r="N110" s="387" t="s">
        <v>344</v>
      </c>
      <c r="O110" s="387" t="s">
        <v>732</v>
      </c>
      <c r="P110" s="387">
        <v>100</v>
      </c>
      <c r="Q110" s="388">
        <v>36671.708333333336</v>
      </c>
      <c r="R110" s="389" t="s">
        <v>733</v>
      </c>
    </row>
    <row r="111" spans="1:18" ht="12.75" hidden="1" outlineLevel="4">
      <c r="A111" s="385" t="s">
        <v>89</v>
      </c>
      <c r="B111" s="386" t="s">
        <v>90</v>
      </c>
      <c r="C111" s="387">
        <v>24600</v>
      </c>
      <c r="D111" s="387">
        <v>24600</v>
      </c>
      <c r="E111" s="387">
        <v>24600</v>
      </c>
      <c r="F111" s="387">
        <v>0</v>
      </c>
      <c r="G111" s="387">
        <v>24600</v>
      </c>
      <c r="H111" s="387">
        <v>0</v>
      </c>
      <c r="I111" s="387">
        <v>0</v>
      </c>
      <c r="J111" s="387">
        <v>24000</v>
      </c>
      <c r="K111" s="387">
        <v>24599.99942779541</v>
      </c>
      <c r="L111" s="387">
        <v>24600</v>
      </c>
      <c r="M111" s="387">
        <f t="shared" si="4"/>
        <v>-0.00057220458984375</v>
      </c>
      <c r="N111" s="387" t="s">
        <v>736</v>
      </c>
      <c r="O111" s="387" t="s">
        <v>732</v>
      </c>
      <c r="P111" s="387">
        <v>100</v>
      </c>
      <c r="Q111" s="388">
        <v>36868.708333333336</v>
      </c>
      <c r="R111" s="389" t="s">
        <v>733</v>
      </c>
    </row>
    <row r="112" spans="1:18" ht="12.75" hidden="1" outlineLevel="4">
      <c r="A112" s="385" t="s">
        <v>91</v>
      </c>
      <c r="B112" s="386" t="s">
        <v>92</v>
      </c>
      <c r="C112" s="387">
        <v>18976.40625</v>
      </c>
      <c r="D112" s="387">
        <v>18976.40625</v>
      </c>
      <c r="E112" s="387">
        <v>0</v>
      </c>
      <c r="F112" s="387">
        <v>21668</v>
      </c>
      <c r="G112" s="387">
        <v>21668</v>
      </c>
      <c r="H112" s="387">
        <v>0</v>
      </c>
      <c r="I112" s="387">
        <v>18976.40625</v>
      </c>
      <c r="J112" s="387">
        <v>21140</v>
      </c>
      <c r="K112" s="387">
        <v>22325.183084011078</v>
      </c>
      <c r="L112" s="387">
        <v>22325.183084011078</v>
      </c>
      <c r="M112" s="387"/>
      <c r="N112" s="387" t="s">
        <v>737</v>
      </c>
      <c r="O112" s="387" t="s">
        <v>732</v>
      </c>
      <c r="P112" s="387">
        <v>100</v>
      </c>
      <c r="Q112" s="388">
        <v>38041.708333333336</v>
      </c>
      <c r="R112" s="390"/>
    </row>
    <row r="113" spans="1:18" ht="12.75" hidden="1" outlineLevel="4">
      <c r="A113" s="385" t="s">
        <v>93</v>
      </c>
      <c r="B113" s="386" t="s">
        <v>94</v>
      </c>
      <c r="C113" s="387">
        <v>21668.5</v>
      </c>
      <c r="D113" s="387">
        <v>21668.5</v>
      </c>
      <c r="E113" s="387">
        <v>21668</v>
      </c>
      <c r="F113" s="387">
        <v>0</v>
      </c>
      <c r="G113" s="387">
        <v>21668</v>
      </c>
      <c r="H113" s="387">
        <v>0</v>
      </c>
      <c r="I113" s="387">
        <v>0.5</v>
      </c>
      <c r="J113" s="387">
        <v>21140</v>
      </c>
      <c r="K113" s="387">
        <v>21668.499495983124</v>
      </c>
      <c r="L113" s="387">
        <v>21668</v>
      </c>
      <c r="M113" s="387">
        <f>K113-L113</f>
        <v>0.4994959831237793</v>
      </c>
      <c r="N113" s="387" t="s">
        <v>344</v>
      </c>
      <c r="O113" s="387" t="s">
        <v>732</v>
      </c>
      <c r="P113" s="387">
        <v>100</v>
      </c>
      <c r="Q113" s="388">
        <v>36868.708333333336</v>
      </c>
      <c r="R113" s="389" t="s">
        <v>733</v>
      </c>
    </row>
    <row r="114" spans="1:18" ht="12.75" hidden="1" outlineLevel="4">
      <c r="A114" s="385" t="s">
        <v>95</v>
      </c>
      <c r="B114" s="386" t="s">
        <v>96</v>
      </c>
      <c r="C114" s="387">
        <v>42680.1640625</v>
      </c>
      <c r="D114" s="387">
        <v>42680.1640625</v>
      </c>
      <c r="E114" s="387">
        <v>0</v>
      </c>
      <c r="F114" s="387">
        <v>42680</v>
      </c>
      <c r="G114" s="387">
        <v>42680</v>
      </c>
      <c r="H114" s="387">
        <v>0</v>
      </c>
      <c r="I114" s="387">
        <v>42680.1640625</v>
      </c>
      <c r="J114" s="387">
        <v>40584</v>
      </c>
      <c r="K114" s="387">
        <v>42680.165519714355</v>
      </c>
      <c r="L114" s="387">
        <v>42680.165519714355</v>
      </c>
      <c r="M114" s="387"/>
      <c r="N114" s="387" t="s">
        <v>736</v>
      </c>
      <c r="O114" s="387" t="s">
        <v>732</v>
      </c>
      <c r="P114" s="387">
        <v>100</v>
      </c>
      <c r="Q114" s="388">
        <v>37347.708333333336</v>
      </c>
      <c r="R114" s="390"/>
    </row>
    <row r="115" spans="1:18" ht="12.75" hidden="1" outlineLevel="4">
      <c r="A115" s="385" t="s">
        <v>97</v>
      </c>
      <c r="B115" s="386" t="s">
        <v>98</v>
      </c>
      <c r="C115" s="387">
        <v>17785.505859375</v>
      </c>
      <c r="D115" s="387">
        <v>14228.404296875</v>
      </c>
      <c r="E115" s="387">
        <v>0</v>
      </c>
      <c r="F115" s="387">
        <v>17786</v>
      </c>
      <c r="G115" s="387">
        <v>17786</v>
      </c>
      <c r="H115" s="387">
        <v>-3557.1015625</v>
      </c>
      <c r="I115" s="387">
        <v>14228.404296875</v>
      </c>
      <c r="J115" s="387">
        <v>16912</v>
      </c>
      <c r="K115" s="387">
        <v>17785.505599975586</v>
      </c>
      <c r="L115" s="387">
        <v>17785.505599975586</v>
      </c>
      <c r="M115" s="387"/>
      <c r="N115" s="387" t="s">
        <v>737</v>
      </c>
      <c r="O115" s="387" t="s">
        <v>732</v>
      </c>
      <c r="P115" s="387">
        <v>80</v>
      </c>
      <c r="Q115" s="388">
        <v>37291.708333333336</v>
      </c>
      <c r="R115" s="390"/>
    </row>
    <row r="116" spans="1:18" ht="12.75" hidden="1" outlineLevel="4">
      <c r="A116" s="385" t="s">
        <v>99</v>
      </c>
      <c r="B116" s="386" t="s">
        <v>100</v>
      </c>
      <c r="C116" s="387">
        <v>17785.505859375</v>
      </c>
      <c r="D116" s="387">
        <v>17785.505859375</v>
      </c>
      <c r="E116" s="387">
        <v>0</v>
      </c>
      <c r="F116" s="387">
        <v>0</v>
      </c>
      <c r="G116" s="387">
        <v>0</v>
      </c>
      <c r="H116" s="387">
        <v>0</v>
      </c>
      <c r="I116" s="387">
        <v>17785.505859375</v>
      </c>
      <c r="J116" s="387">
        <v>16912</v>
      </c>
      <c r="K116" s="387">
        <v>17785.505599975586</v>
      </c>
      <c r="L116" s="387">
        <v>17785.505599975586</v>
      </c>
      <c r="M116" s="387"/>
      <c r="N116" s="387" t="s">
        <v>344</v>
      </c>
      <c r="O116" s="387" t="s">
        <v>732</v>
      </c>
      <c r="P116" s="387">
        <v>100</v>
      </c>
      <c r="Q116" s="388">
        <v>37291.708333333336</v>
      </c>
      <c r="R116" s="390"/>
    </row>
    <row r="117" spans="1:18" ht="12.75" hidden="1" outlineLevel="4">
      <c r="A117" s="385" t="s">
        <v>101</v>
      </c>
      <c r="B117" s="386" t="s">
        <v>102</v>
      </c>
      <c r="C117" s="387">
        <v>0</v>
      </c>
      <c r="D117" s="387">
        <v>0</v>
      </c>
      <c r="E117" s="387">
        <v>0</v>
      </c>
      <c r="F117" s="387">
        <v>0</v>
      </c>
      <c r="G117" s="387">
        <v>0</v>
      </c>
      <c r="H117" s="387">
        <v>0</v>
      </c>
      <c r="I117" s="387">
        <v>0</v>
      </c>
      <c r="J117" s="387">
        <v>0</v>
      </c>
      <c r="K117" s="387">
        <v>0</v>
      </c>
      <c r="L117" s="387">
        <v>0</v>
      </c>
      <c r="M117" s="387"/>
      <c r="N117" s="387" t="s">
        <v>736</v>
      </c>
      <c r="O117" s="387" t="s">
        <v>732</v>
      </c>
      <c r="P117" s="387">
        <v>0</v>
      </c>
      <c r="Q117" s="388">
        <v>38259.708333333336</v>
      </c>
      <c r="R117" s="390"/>
    </row>
    <row r="118" spans="1:18" ht="12.75" hidden="1" outlineLevel="4">
      <c r="A118" s="385" t="s">
        <v>103</v>
      </c>
      <c r="B118" s="386" t="s">
        <v>104</v>
      </c>
      <c r="C118" s="387">
        <v>0</v>
      </c>
      <c r="D118" s="387">
        <v>0</v>
      </c>
      <c r="E118" s="387">
        <v>0</v>
      </c>
      <c r="F118" s="387">
        <v>0</v>
      </c>
      <c r="G118" s="387">
        <v>0</v>
      </c>
      <c r="H118" s="387">
        <v>0</v>
      </c>
      <c r="I118" s="387">
        <v>0</v>
      </c>
      <c r="J118" s="387">
        <v>0</v>
      </c>
      <c r="K118" s="387">
        <v>0</v>
      </c>
      <c r="L118" s="387">
        <v>0</v>
      </c>
      <c r="M118" s="387"/>
      <c r="N118" s="387" t="s">
        <v>737</v>
      </c>
      <c r="O118" s="387" t="s">
        <v>732</v>
      </c>
      <c r="P118" s="387">
        <v>0</v>
      </c>
      <c r="Q118" s="388">
        <v>38259.708333333336</v>
      </c>
      <c r="R118" s="390"/>
    </row>
    <row r="119" spans="1:18" ht="12.75" hidden="1" outlineLevel="4">
      <c r="A119" s="385" t="s">
        <v>106</v>
      </c>
      <c r="B119" s="386" t="s">
        <v>107</v>
      </c>
      <c r="C119" s="387">
        <v>0</v>
      </c>
      <c r="D119" s="387">
        <v>0</v>
      </c>
      <c r="E119" s="387">
        <v>0</v>
      </c>
      <c r="F119" s="387">
        <v>0</v>
      </c>
      <c r="G119" s="387">
        <v>0</v>
      </c>
      <c r="H119" s="387">
        <v>0</v>
      </c>
      <c r="I119" s="387">
        <v>0</v>
      </c>
      <c r="J119" s="387">
        <v>0</v>
      </c>
      <c r="K119" s="387">
        <v>0</v>
      </c>
      <c r="L119" s="387">
        <v>0</v>
      </c>
      <c r="M119" s="387"/>
      <c r="N119" s="387" t="s">
        <v>344</v>
      </c>
      <c r="O119" s="387" t="s">
        <v>732</v>
      </c>
      <c r="P119" s="387">
        <v>0</v>
      </c>
      <c r="Q119" s="388">
        <v>38259.708333333336</v>
      </c>
      <c r="R119" s="390"/>
    </row>
    <row r="120" spans="1:18" ht="12.75" outlineLevel="3" collapsed="1">
      <c r="A120" s="380" t="s">
        <v>122</v>
      </c>
      <c r="B120" s="381" t="s">
        <v>123</v>
      </c>
      <c r="C120" s="382">
        <f>0+C121+C122+C123+C124+C125+C126+C127+C128+C129</f>
        <v>381264.7421875</v>
      </c>
      <c r="D120" s="382">
        <f>0+D121+D122+D123+D124+D125+D126+D127+D128+D129</f>
        <v>104940.5</v>
      </c>
      <c r="E120" s="382">
        <f>0+E121+E122+E123+E124+E125+E126+E127+E128+E129</f>
        <v>125172.9921875</v>
      </c>
      <c r="F120" s="382">
        <f>0+F121+F122+F123+F124+F125+F126+F127+F128+F129</f>
        <v>166560.1</v>
      </c>
      <c r="G120" s="382">
        <f>F120+E120</f>
        <v>291733.0921875</v>
      </c>
      <c r="H120" s="382">
        <f>D120-C120</f>
        <v>-276324.2421875</v>
      </c>
      <c r="I120" s="382">
        <f>D120-E120</f>
        <v>-20232.4921875</v>
      </c>
      <c r="J120" s="382">
        <f>+J121+J122+J123+J124+J125+J126+J127+J128+J129</f>
        <v>403200</v>
      </c>
      <c r="K120" s="382">
        <f>+K121+K122+K123+K124+K125+K126+K127+K128+K129</f>
        <v>419006.13384246826</v>
      </c>
      <c r="L120" s="382">
        <f>+L121+L122+L123+L124+L125+L126+L127+L128+L129</f>
        <v>419006.13384246826</v>
      </c>
      <c r="M120" s="382">
        <f>K120-L120</f>
        <v>0</v>
      </c>
      <c r="N120" s="382" t="s">
        <v>768</v>
      </c>
      <c r="O120" s="382" t="s">
        <v>732</v>
      </c>
      <c r="P120" s="382">
        <v>47</v>
      </c>
      <c r="Q120" s="383">
        <v>38258.708333333336</v>
      </c>
      <c r="R120" s="384"/>
    </row>
    <row r="121" spans="1:18" ht="12.75" hidden="1" outlineLevel="4">
      <c r="A121" s="385" t="s">
        <v>124</v>
      </c>
      <c r="B121" s="386" t="s">
        <v>125</v>
      </c>
      <c r="C121" s="387">
        <v>291501.40625</v>
      </c>
      <c r="D121" s="387">
        <v>104940.5</v>
      </c>
      <c r="E121" s="387">
        <v>125172.9921875</v>
      </c>
      <c r="F121" s="387">
        <v>166560.1</v>
      </c>
      <c r="G121" s="387">
        <v>291733.0921875</v>
      </c>
      <c r="H121" s="387">
        <v>-186560.90625</v>
      </c>
      <c r="I121" s="387">
        <v>-20232.4921875</v>
      </c>
      <c r="J121" s="387">
        <v>283200</v>
      </c>
      <c r="K121" s="387">
        <v>291501.3988494873</v>
      </c>
      <c r="L121" s="387">
        <v>291501.3988494873</v>
      </c>
      <c r="M121" s="387"/>
      <c r="N121" s="387" t="s">
        <v>736</v>
      </c>
      <c r="O121" s="387" t="s">
        <v>732</v>
      </c>
      <c r="P121" s="387">
        <v>36</v>
      </c>
      <c r="Q121" s="388">
        <v>37473.708333333336</v>
      </c>
      <c r="R121" s="390"/>
    </row>
    <row r="122" spans="1:18" ht="12.75" hidden="1" outlineLevel="4">
      <c r="A122" s="385" t="s">
        <v>126</v>
      </c>
      <c r="B122" s="386" t="s">
        <v>127</v>
      </c>
      <c r="C122" s="387">
        <v>0</v>
      </c>
      <c r="D122" s="387">
        <v>0</v>
      </c>
      <c r="E122" s="387">
        <v>0</v>
      </c>
      <c r="F122" s="387">
        <v>0</v>
      </c>
      <c r="G122" s="387">
        <v>0</v>
      </c>
      <c r="H122" s="387">
        <v>0</v>
      </c>
      <c r="I122" s="387">
        <v>0</v>
      </c>
      <c r="J122" s="387">
        <v>0</v>
      </c>
      <c r="K122" s="387">
        <v>0</v>
      </c>
      <c r="L122" s="387">
        <v>0</v>
      </c>
      <c r="M122" s="387"/>
      <c r="N122" s="387" t="s">
        <v>737</v>
      </c>
      <c r="O122" s="387" t="s">
        <v>732</v>
      </c>
      <c r="P122" s="387">
        <v>26</v>
      </c>
      <c r="Q122" s="388">
        <v>38258.708333333336</v>
      </c>
      <c r="R122" s="390"/>
    </row>
    <row r="123" spans="1:18" ht="12.75" hidden="1" outlineLevel="4">
      <c r="A123" s="385" t="s">
        <v>128</v>
      </c>
      <c r="B123" s="386" t="s">
        <v>129</v>
      </c>
      <c r="C123" s="387">
        <v>0</v>
      </c>
      <c r="D123" s="387">
        <v>0</v>
      </c>
      <c r="E123" s="387">
        <v>0</v>
      </c>
      <c r="F123" s="387">
        <v>0</v>
      </c>
      <c r="G123" s="387">
        <v>0</v>
      </c>
      <c r="H123" s="387">
        <v>0</v>
      </c>
      <c r="I123" s="387">
        <v>0</v>
      </c>
      <c r="J123" s="387">
        <v>0</v>
      </c>
      <c r="K123" s="387">
        <v>0</v>
      </c>
      <c r="L123" s="387">
        <v>0</v>
      </c>
      <c r="M123" s="387"/>
      <c r="N123" s="387" t="s">
        <v>736</v>
      </c>
      <c r="O123" s="387" t="s">
        <v>732</v>
      </c>
      <c r="P123" s="387">
        <v>35</v>
      </c>
      <c r="Q123" s="388">
        <v>38258.708333333336</v>
      </c>
      <c r="R123" s="390"/>
    </row>
    <row r="124" spans="1:18" ht="12.75" hidden="1" outlineLevel="4">
      <c r="A124" s="385" t="s">
        <v>130</v>
      </c>
      <c r="B124" s="386" t="s">
        <v>131</v>
      </c>
      <c r="C124" s="387">
        <v>0</v>
      </c>
      <c r="D124" s="387">
        <v>0</v>
      </c>
      <c r="E124" s="387">
        <v>0</v>
      </c>
      <c r="F124" s="387">
        <v>0</v>
      </c>
      <c r="G124" s="387">
        <v>0</v>
      </c>
      <c r="H124" s="387">
        <v>0</v>
      </c>
      <c r="I124" s="387">
        <v>0</v>
      </c>
      <c r="J124" s="387">
        <v>0</v>
      </c>
      <c r="K124" s="387">
        <v>0</v>
      </c>
      <c r="L124" s="387">
        <v>0</v>
      </c>
      <c r="M124" s="387"/>
      <c r="N124" s="387" t="s">
        <v>344</v>
      </c>
      <c r="O124" s="387" t="s">
        <v>732</v>
      </c>
      <c r="P124" s="387">
        <v>100</v>
      </c>
      <c r="Q124" s="388">
        <v>38258.708333333336</v>
      </c>
      <c r="R124" s="390"/>
    </row>
    <row r="125" spans="1:18" ht="12.75" hidden="1" outlineLevel="4">
      <c r="A125" s="385" t="s">
        <v>132</v>
      </c>
      <c r="B125" s="386" t="s">
        <v>133</v>
      </c>
      <c r="C125" s="387">
        <v>0</v>
      </c>
      <c r="D125" s="387">
        <v>0</v>
      </c>
      <c r="E125" s="387">
        <v>0</v>
      </c>
      <c r="F125" s="387">
        <v>0</v>
      </c>
      <c r="G125" s="387">
        <v>0</v>
      </c>
      <c r="H125" s="387">
        <v>0</v>
      </c>
      <c r="I125" s="387">
        <v>0</v>
      </c>
      <c r="J125" s="387">
        <v>0</v>
      </c>
      <c r="K125" s="387">
        <v>0</v>
      </c>
      <c r="L125" s="387">
        <v>0</v>
      </c>
      <c r="M125" s="387"/>
      <c r="N125" s="387" t="s">
        <v>737</v>
      </c>
      <c r="O125" s="387" t="s">
        <v>732</v>
      </c>
      <c r="P125" s="387">
        <v>0</v>
      </c>
      <c r="Q125" s="388">
        <v>38258.708333333336</v>
      </c>
      <c r="R125" s="390"/>
    </row>
    <row r="126" spans="1:18" ht="12.75" hidden="1" outlineLevel="4">
      <c r="A126" s="385" t="s">
        <v>134</v>
      </c>
      <c r="B126" s="386" t="s">
        <v>135</v>
      </c>
      <c r="C126" s="387">
        <v>0</v>
      </c>
      <c r="D126" s="387">
        <v>0</v>
      </c>
      <c r="E126" s="387">
        <v>0</v>
      </c>
      <c r="F126" s="387">
        <v>0</v>
      </c>
      <c r="G126" s="387">
        <v>0</v>
      </c>
      <c r="H126" s="387">
        <v>0</v>
      </c>
      <c r="I126" s="387">
        <v>0</v>
      </c>
      <c r="J126" s="387">
        <v>0</v>
      </c>
      <c r="K126" s="387">
        <v>0</v>
      </c>
      <c r="L126" s="387">
        <v>0</v>
      </c>
      <c r="M126" s="387"/>
      <c r="N126" s="387" t="s">
        <v>736</v>
      </c>
      <c r="O126" s="387" t="s">
        <v>732</v>
      </c>
      <c r="P126" s="387">
        <v>0</v>
      </c>
      <c r="Q126" s="388">
        <v>38258.708333333336</v>
      </c>
      <c r="R126" s="390"/>
    </row>
    <row r="127" spans="1:18" ht="12.75" hidden="1" outlineLevel="4">
      <c r="A127" s="385" t="s">
        <v>136</v>
      </c>
      <c r="B127" s="386" t="s">
        <v>137</v>
      </c>
      <c r="C127" s="387">
        <v>0</v>
      </c>
      <c r="D127" s="387">
        <v>0</v>
      </c>
      <c r="E127" s="387">
        <v>0</v>
      </c>
      <c r="F127" s="387">
        <v>0</v>
      </c>
      <c r="G127" s="387">
        <v>0</v>
      </c>
      <c r="H127" s="387">
        <v>0</v>
      </c>
      <c r="I127" s="387">
        <v>0</v>
      </c>
      <c r="J127" s="387">
        <v>0</v>
      </c>
      <c r="K127" s="387">
        <v>0</v>
      </c>
      <c r="L127" s="387">
        <v>0</v>
      </c>
      <c r="M127" s="387"/>
      <c r="N127" s="387" t="s">
        <v>344</v>
      </c>
      <c r="O127" s="387" t="s">
        <v>732</v>
      </c>
      <c r="P127" s="387">
        <v>100</v>
      </c>
      <c r="Q127" s="388">
        <v>38258.708333333336</v>
      </c>
      <c r="R127" s="390"/>
    </row>
    <row r="128" spans="1:18" ht="12.75" hidden="1" outlineLevel="4">
      <c r="A128" s="385" t="s">
        <v>144</v>
      </c>
      <c r="B128" s="386" t="s">
        <v>78</v>
      </c>
      <c r="C128" s="387">
        <v>0</v>
      </c>
      <c r="D128" s="387">
        <v>0</v>
      </c>
      <c r="E128" s="387">
        <v>0</v>
      </c>
      <c r="F128" s="387">
        <v>0</v>
      </c>
      <c r="G128" s="387">
        <v>0</v>
      </c>
      <c r="H128" s="387">
        <v>0</v>
      </c>
      <c r="I128" s="387">
        <v>0</v>
      </c>
      <c r="J128" s="387">
        <v>0</v>
      </c>
      <c r="K128" s="387">
        <v>0</v>
      </c>
      <c r="L128" s="387">
        <v>0</v>
      </c>
      <c r="M128" s="387"/>
      <c r="N128" s="387" t="s">
        <v>737</v>
      </c>
      <c r="O128" s="387" t="s">
        <v>732</v>
      </c>
      <c r="P128" s="387">
        <v>32</v>
      </c>
      <c r="Q128" s="388">
        <v>37890.708333333336</v>
      </c>
      <c r="R128" s="390"/>
    </row>
    <row r="129" spans="1:18" ht="12.75" hidden="1" outlineLevel="4">
      <c r="A129" s="385" t="s">
        <v>1600</v>
      </c>
      <c r="B129" s="386" t="s">
        <v>1603</v>
      </c>
      <c r="C129" s="387">
        <v>89763.3359375</v>
      </c>
      <c r="D129" s="387">
        <v>0</v>
      </c>
      <c r="E129" s="387">
        <v>0</v>
      </c>
      <c r="F129" s="387">
        <v>0</v>
      </c>
      <c r="G129" s="387">
        <v>0</v>
      </c>
      <c r="H129" s="387">
        <v>-89763.3359375</v>
      </c>
      <c r="I129" s="387">
        <v>0</v>
      </c>
      <c r="J129" s="387">
        <v>120000</v>
      </c>
      <c r="K129" s="387">
        <v>127504.73499298096</v>
      </c>
      <c r="L129" s="387">
        <v>127504.73499298096</v>
      </c>
      <c r="M129" s="387"/>
      <c r="N129" s="387" t="s">
        <v>736</v>
      </c>
      <c r="O129" s="387" t="s">
        <v>732</v>
      </c>
      <c r="P129" s="387">
        <v>0</v>
      </c>
      <c r="Q129" s="388">
        <v>37708.708333333336</v>
      </c>
      <c r="R129" s="390"/>
    </row>
    <row r="130" spans="1:18" ht="12.75" outlineLevel="3" collapsed="1">
      <c r="A130" s="380" t="s">
        <v>145</v>
      </c>
      <c r="B130" s="381" t="s">
        <v>787</v>
      </c>
      <c r="C130" s="382">
        <f>0+C131+C132+C133</f>
        <v>0</v>
      </c>
      <c r="D130" s="382">
        <f>0+D131+D132+D133</f>
        <v>0</v>
      </c>
      <c r="E130" s="382">
        <f>0+E131+E132+E133</f>
        <v>0</v>
      </c>
      <c r="F130" s="382">
        <f>0+F131+F132+F133</f>
        <v>0</v>
      </c>
      <c r="G130" s="382">
        <f>F130+E130</f>
        <v>0</v>
      </c>
      <c r="H130" s="382">
        <f>D130-C130</f>
        <v>0</v>
      </c>
      <c r="I130" s="382">
        <f>D130-E130</f>
        <v>0</v>
      </c>
      <c r="J130" s="382">
        <f>+J131+J132+J133</f>
        <v>0</v>
      </c>
      <c r="K130" s="382">
        <f>+K131+K132+K133</f>
        <v>0</v>
      </c>
      <c r="L130" s="382">
        <f>+L131+L132+L133</f>
        <v>0</v>
      </c>
      <c r="M130" s="382">
        <f>K130-L130</f>
        <v>0</v>
      </c>
      <c r="N130" s="382" t="s">
        <v>742</v>
      </c>
      <c r="O130" s="382" t="s">
        <v>732</v>
      </c>
      <c r="P130" s="382">
        <v>100</v>
      </c>
      <c r="Q130" s="383">
        <v>37568.708333333336</v>
      </c>
      <c r="R130" s="384"/>
    </row>
    <row r="131" spans="1:18" ht="12.75" hidden="1" outlineLevel="4">
      <c r="A131" s="391" t="s">
        <v>147</v>
      </c>
      <c r="B131" s="392" t="s">
        <v>788</v>
      </c>
      <c r="C131" s="382">
        <v>0</v>
      </c>
      <c r="D131" s="382">
        <v>0</v>
      </c>
      <c r="E131" s="382">
        <v>0</v>
      </c>
      <c r="F131" s="382">
        <v>0</v>
      </c>
      <c r="G131" s="382"/>
      <c r="H131" s="382"/>
      <c r="I131" s="382"/>
      <c r="J131" s="382"/>
      <c r="K131" s="382"/>
      <c r="L131" s="382"/>
      <c r="M131" s="382">
        <f>K131-L131</f>
        <v>0</v>
      </c>
      <c r="N131" s="382" t="s">
        <v>742</v>
      </c>
      <c r="O131" s="382" t="s">
        <v>732</v>
      </c>
      <c r="P131" s="382">
        <v>100</v>
      </c>
      <c r="Q131" s="383">
        <v>37399.708333333336</v>
      </c>
      <c r="R131" s="384"/>
    </row>
    <row r="132" spans="1:18" ht="12.75" hidden="1" outlineLevel="4">
      <c r="A132" s="391" t="s">
        <v>153</v>
      </c>
      <c r="B132" s="392" t="s">
        <v>789</v>
      </c>
      <c r="C132" s="382">
        <v>0</v>
      </c>
      <c r="D132" s="382">
        <v>0</v>
      </c>
      <c r="E132" s="382">
        <v>0</v>
      </c>
      <c r="F132" s="382">
        <v>0</v>
      </c>
      <c r="G132" s="382"/>
      <c r="H132" s="382"/>
      <c r="I132" s="382"/>
      <c r="J132" s="382"/>
      <c r="K132" s="382"/>
      <c r="L132" s="382"/>
      <c r="M132" s="382">
        <f>K132-L132</f>
        <v>0</v>
      </c>
      <c r="N132" s="382" t="s">
        <v>742</v>
      </c>
      <c r="O132" s="382" t="s">
        <v>732</v>
      </c>
      <c r="P132" s="382">
        <v>100</v>
      </c>
      <c r="Q132" s="383">
        <v>37315.708333333336</v>
      </c>
      <c r="R132" s="384"/>
    </row>
    <row r="133" spans="1:18" ht="12.75" hidden="1" outlineLevel="4">
      <c r="A133" s="391" t="s">
        <v>157</v>
      </c>
      <c r="B133" s="392" t="s">
        <v>790</v>
      </c>
      <c r="C133" s="382">
        <v>0</v>
      </c>
      <c r="D133" s="382">
        <v>0</v>
      </c>
      <c r="E133" s="382">
        <v>0</v>
      </c>
      <c r="F133" s="382">
        <v>0</v>
      </c>
      <c r="G133" s="382"/>
      <c r="H133" s="382"/>
      <c r="I133" s="382"/>
      <c r="J133" s="382"/>
      <c r="K133" s="382"/>
      <c r="L133" s="382"/>
      <c r="M133" s="382">
        <f>K133-L133</f>
        <v>0</v>
      </c>
      <c r="N133" s="382" t="s">
        <v>742</v>
      </c>
      <c r="O133" s="382" t="s">
        <v>732</v>
      </c>
      <c r="P133" s="382">
        <v>100</v>
      </c>
      <c r="Q133" s="383">
        <v>37568.708333333336</v>
      </c>
      <c r="R133" s="384"/>
    </row>
    <row r="134" spans="1:18" ht="12.75" outlineLevel="3" collapsed="1">
      <c r="A134" s="380" t="s">
        <v>1032</v>
      </c>
      <c r="B134" s="381" t="s">
        <v>1604</v>
      </c>
      <c r="C134" s="382">
        <f>0+C135+C136+C137</f>
        <v>182179.1494140625</v>
      </c>
      <c r="D134" s="382">
        <f>0+D135+D136+D137</f>
        <v>15774.75</v>
      </c>
      <c r="E134" s="382">
        <f>0+E135+E136+E137</f>
        <v>0</v>
      </c>
      <c r="F134" s="382">
        <f>0+F135+F136+F137</f>
        <v>15775</v>
      </c>
      <c r="G134" s="382">
        <f>F134+E134</f>
        <v>15775</v>
      </c>
      <c r="H134" s="382">
        <f>D134-C134</f>
        <v>-166404.3994140625</v>
      </c>
      <c r="I134" s="382">
        <f>D134-E134</f>
        <v>15774.75</v>
      </c>
      <c r="J134" s="382">
        <f>+J135+J136+J137</f>
        <v>180590</v>
      </c>
      <c r="K134" s="382">
        <f>+K135+K136+K137</f>
        <v>190200.91282844543</v>
      </c>
      <c r="L134" s="382">
        <f>+L135+L136+L137</f>
        <v>190200.91282844543</v>
      </c>
      <c r="M134" s="382">
        <f>K134-L134</f>
        <v>0</v>
      </c>
      <c r="N134" s="382" t="s">
        <v>768</v>
      </c>
      <c r="O134" s="382" t="s">
        <v>732</v>
      </c>
      <c r="P134" s="382">
        <v>33</v>
      </c>
      <c r="Q134" s="383">
        <v>37704.44930555556</v>
      </c>
      <c r="R134" s="384"/>
    </row>
    <row r="135" spans="1:18" ht="12.75" hidden="1" outlineLevel="4">
      <c r="A135" s="385" t="s">
        <v>1033</v>
      </c>
      <c r="B135" s="386" t="s">
        <v>1605</v>
      </c>
      <c r="C135" s="387">
        <v>151174.6875</v>
      </c>
      <c r="D135" s="387">
        <v>0</v>
      </c>
      <c r="E135" s="387">
        <v>0</v>
      </c>
      <c r="F135" s="387">
        <v>0</v>
      </c>
      <c r="G135" s="387">
        <v>0</v>
      </c>
      <c r="H135" s="387">
        <v>-151174.6875</v>
      </c>
      <c r="I135" s="387">
        <v>0</v>
      </c>
      <c r="J135" s="387">
        <v>143750</v>
      </c>
      <c r="K135" s="387">
        <v>151174.69429969788</v>
      </c>
      <c r="L135" s="387">
        <v>151174.69429969788</v>
      </c>
      <c r="M135" s="387"/>
      <c r="N135" s="387" t="s">
        <v>736</v>
      </c>
      <c r="O135" s="387" t="s">
        <v>732</v>
      </c>
      <c r="P135" s="387">
        <v>0</v>
      </c>
      <c r="Q135" s="388">
        <v>37704.44930555556</v>
      </c>
      <c r="R135" s="390"/>
    </row>
    <row r="136" spans="1:18" ht="12.75" hidden="1" outlineLevel="4">
      <c r="A136" s="385" t="s">
        <v>1062</v>
      </c>
      <c r="B136" s="386" t="s">
        <v>1606</v>
      </c>
      <c r="C136" s="387">
        <v>15229.7119140625</v>
      </c>
      <c r="D136" s="387">
        <v>0</v>
      </c>
      <c r="E136" s="387">
        <v>0</v>
      </c>
      <c r="F136" s="387">
        <v>0</v>
      </c>
      <c r="G136" s="387">
        <v>0</v>
      </c>
      <c r="H136" s="387">
        <v>-15229.7119140625</v>
      </c>
      <c r="I136" s="387">
        <v>0</v>
      </c>
      <c r="J136" s="387">
        <v>21840</v>
      </c>
      <c r="K136" s="387">
        <v>23251.467819213867</v>
      </c>
      <c r="L136" s="387">
        <v>23251.467819213867</v>
      </c>
      <c r="M136" s="387"/>
      <c r="N136" s="387" t="s">
        <v>736</v>
      </c>
      <c r="O136" s="387" t="s">
        <v>732</v>
      </c>
      <c r="P136" s="387">
        <v>0</v>
      </c>
      <c r="Q136" s="388">
        <v>37701.708333333336</v>
      </c>
      <c r="R136" s="390"/>
    </row>
    <row r="137" spans="1:18" ht="12.75" outlineLevel="3" collapsed="1">
      <c r="A137" s="391" t="s">
        <v>1608</v>
      </c>
      <c r="B137" s="392" t="s">
        <v>1609</v>
      </c>
      <c r="C137" s="382">
        <f>0+C138+C139</f>
        <v>15774.75</v>
      </c>
      <c r="D137" s="382">
        <f>0+D138+D139</f>
        <v>15774.75</v>
      </c>
      <c r="E137" s="382">
        <f>0+E138+E139</f>
        <v>0</v>
      </c>
      <c r="F137" s="382">
        <f>0+F138+F139</f>
        <v>15775</v>
      </c>
      <c r="G137" s="382">
        <f>F137+E137</f>
        <v>15775</v>
      </c>
      <c r="H137" s="382">
        <f>D137-C137</f>
        <v>0</v>
      </c>
      <c r="I137" s="382">
        <f>D137-E137</f>
        <v>15774.75</v>
      </c>
      <c r="J137" s="382">
        <f>+J138+J139</f>
        <v>15000</v>
      </c>
      <c r="K137" s="382">
        <f>+K138+K139</f>
        <v>15774.750709533691</v>
      </c>
      <c r="L137" s="382">
        <f>+L138+L139</f>
        <v>15774.750709533691</v>
      </c>
      <c r="M137" s="382">
        <f>K137-L137</f>
        <v>0</v>
      </c>
      <c r="N137" s="382" t="s">
        <v>768</v>
      </c>
      <c r="O137" s="382" t="s">
        <v>732</v>
      </c>
      <c r="P137" s="382">
        <v>93</v>
      </c>
      <c r="Q137" s="383">
        <v>37344.708333333336</v>
      </c>
      <c r="R137" s="384"/>
    </row>
    <row r="138" spans="1:18" ht="12.75" hidden="1" outlineLevel="4">
      <c r="A138" s="393" t="s">
        <v>1610</v>
      </c>
      <c r="B138" s="394" t="s">
        <v>1611</v>
      </c>
      <c r="C138" s="387">
        <v>5258.25</v>
      </c>
      <c r="D138" s="387">
        <v>5258.25</v>
      </c>
      <c r="E138" s="387">
        <v>0</v>
      </c>
      <c r="F138" s="387">
        <v>5258</v>
      </c>
      <c r="G138" s="387">
        <v>5258</v>
      </c>
      <c r="H138" s="387">
        <v>0</v>
      </c>
      <c r="I138" s="387">
        <v>5258.25</v>
      </c>
      <c r="J138" s="387">
        <v>5000</v>
      </c>
      <c r="K138" s="387">
        <v>5258.2502365112305</v>
      </c>
      <c r="L138" s="387">
        <v>5258.2502365112305</v>
      </c>
      <c r="M138" s="387"/>
      <c r="N138" s="387" t="s">
        <v>737</v>
      </c>
      <c r="O138" s="387" t="s">
        <v>732</v>
      </c>
      <c r="P138" s="387">
        <v>80</v>
      </c>
      <c r="Q138" s="388">
        <v>37330.708333333336</v>
      </c>
      <c r="R138" s="390"/>
    </row>
    <row r="139" spans="1:18" ht="12.75" hidden="1" outlineLevel="4">
      <c r="A139" s="393" t="s">
        <v>1612</v>
      </c>
      <c r="B139" s="394" t="s">
        <v>1613</v>
      </c>
      <c r="C139" s="387">
        <v>10516.5</v>
      </c>
      <c r="D139" s="387">
        <v>10516.5</v>
      </c>
      <c r="E139" s="387">
        <v>0</v>
      </c>
      <c r="F139" s="387">
        <v>10517</v>
      </c>
      <c r="G139" s="387">
        <v>10517</v>
      </c>
      <c r="H139" s="387">
        <v>0</v>
      </c>
      <c r="I139" s="387">
        <v>10516.5</v>
      </c>
      <c r="J139" s="387">
        <v>10000</v>
      </c>
      <c r="K139" s="387">
        <v>10516.500473022461</v>
      </c>
      <c r="L139" s="387">
        <v>10516.500473022461</v>
      </c>
      <c r="M139" s="387"/>
      <c r="N139" s="387" t="s">
        <v>737</v>
      </c>
      <c r="O139" s="387" t="s">
        <v>732</v>
      </c>
      <c r="P139" s="387">
        <v>100</v>
      </c>
      <c r="Q139" s="388">
        <v>37344.708333333336</v>
      </c>
      <c r="R139" s="390"/>
    </row>
    <row r="140" spans="1:18" ht="12.75" outlineLevel="1">
      <c r="A140" s="370">
        <v>2.2</v>
      </c>
      <c r="B140" s="371" t="s">
        <v>1727</v>
      </c>
      <c r="C140" s="372" t="e">
        <f>0+#REF!+#REF!+#REF!+#REF!+#REF!+#REF!+C141+#REF!+#REF!+#REF!</f>
        <v>#REF!</v>
      </c>
      <c r="D140" s="372" t="e">
        <f>0+#REF!+#REF!+#REF!+#REF!+#REF!+#REF!+D141+#REF!+#REF!+#REF!</f>
        <v>#REF!</v>
      </c>
      <c r="E140" s="372" t="e">
        <f>0+#REF!+#REF!+#REF!+#REF!+#REF!+#REF!+E141+#REF!+#REF!+#REF!</f>
        <v>#REF!</v>
      </c>
      <c r="F140" s="372" t="e">
        <f>0+#REF!+#REF!+#REF!+#REF!+#REF!+#REF!+F141+#REF!+#REF!+#REF!</f>
        <v>#REF!</v>
      </c>
      <c r="G140" s="372" t="e">
        <f>F140+E140</f>
        <v>#REF!</v>
      </c>
      <c r="H140" s="372" t="e">
        <f>D140-C140</f>
        <v>#REF!</v>
      </c>
      <c r="I140" s="372" t="e">
        <f>D140-E140</f>
        <v>#REF!</v>
      </c>
      <c r="J140" s="372" t="e">
        <f>+#REF!+#REF!+#REF!+#REF!+#REF!+#REF!+J141+#REF!+#REF!+#REF!</f>
        <v>#REF!</v>
      </c>
      <c r="K140" s="372" t="e">
        <f>+#REF!+#REF!+#REF!+#REF!+#REF!+#REF!+K141+#REF!+#REF!+#REF!</f>
        <v>#REF!</v>
      </c>
      <c r="L140" s="372" t="e">
        <f>+#REF!+#REF!+#REF!+#REF!+#REF!+#REF!+L141+#REF!+#REF!+#REF!</f>
        <v>#REF!</v>
      </c>
      <c r="M140" s="372" t="e">
        <f>K140-L140</f>
        <v>#REF!</v>
      </c>
      <c r="N140" s="372" t="s">
        <v>567</v>
      </c>
      <c r="O140" s="372" t="s">
        <v>732</v>
      </c>
      <c r="P140" s="372">
        <v>17</v>
      </c>
      <c r="Q140" s="373">
        <v>38686.333333333336</v>
      </c>
      <c r="R140" s="374"/>
    </row>
    <row r="141" spans="1:18" ht="12.75" outlineLevel="2">
      <c r="A141" s="375" t="s">
        <v>1728</v>
      </c>
      <c r="B141" s="376" t="s">
        <v>1775</v>
      </c>
      <c r="C141" s="377">
        <f>0+C142+C147+C148+C153+C157+C158+C159+C163+C166+C171</f>
        <v>47035.166015625</v>
      </c>
      <c r="D141" s="377">
        <f>0+D142+D147+D148+D153+D157+D158+D159+D163+D166+D171</f>
        <v>0</v>
      </c>
      <c r="E141" s="377">
        <f>0+E142+E147+E148+E153+E157+E158+E159+E163+E166+E171</f>
        <v>204546.1875</v>
      </c>
      <c r="F141" s="377">
        <f>0+F142+F147+F148+F153+F157+F158+F159+F163+F166+F171</f>
        <v>48831.58</v>
      </c>
      <c r="G141" s="377">
        <f>F141+E141</f>
        <v>253377.76750000002</v>
      </c>
      <c r="H141" s="377">
        <f>D141-C141</f>
        <v>-47035.166015625</v>
      </c>
      <c r="I141" s="377">
        <f>D141-E141</f>
        <v>-204546.1875</v>
      </c>
      <c r="J141" s="377">
        <f>+J142+J147+J148+J153+J157+J158+J159+J163+J166+J171</f>
        <v>355006</v>
      </c>
      <c r="K141" s="377">
        <f>+K142+K147+K148+K153+K157+K158+K159+K163+K166+K171</f>
        <v>381423.87209415436</v>
      </c>
      <c r="L141" s="377">
        <f>+L142+L147+L148+L153+L157+L158+L159+L163+L166+L171</f>
        <v>381423.87209415436</v>
      </c>
      <c r="M141" s="377">
        <f>K141-L141</f>
        <v>0</v>
      </c>
      <c r="N141" s="377" t="s">
        <v>768</v>
      </c>
      <c r="O141" s="377" t="s">
        <v>732</v>
      </c>
      <c r="P141" s="377">
        <v>17</v>
      </c>
      <c r="Q141" s="378">
        <v>38517.708333333336</v>
      </c>
      <c r="R141" s="379"/>
    </row>
    <row r="142" spans="1:18" ht="12.75" outlineLevel="3" collapsed="1">
      <c r="A142" s="380" t="s">
        <v>1729</v>
      </c>
      <c r="B142" s="381" t="s">
        <v>1730</v>
      </c>
      <c r="C142" s="382">
        <f>0+C143+C144+C145+C146</f>
        <v>0</v>
      </c>
      <c r="D142" s="382">
        <f>0+D143+D144+D145+D146</f>
        <v>0</v>
      </c>
      <c r="E142" s="382">
        <f>0+E143+E144+E145+E146</f>
        <v>204546.1875</v>
      </c>
      <c r="F142" s="382">
        <f>0+F143+F144+F145+F146</f>
        <v>48831.58</v>
      </c>
      <c r="G142" s="382">
        <f>F142+E142</f>
        <v>253377.76750000002</v>
      </c>
      <c r="H142" s="382">
        <f>D142-C142</f>
        <v>0</v>
      </c>
      <c r="I142" s="382">
        <f>D142-E142</f>
        <v>-204546.1875</v>
      </c>
      <c r="J142" s="382">
        <f>+J143+J144+J145+J146</f>
        <v>179162</v>
      </c>
      <c r="K142" s="382">
        <f>+K143+K144+K145+K146</f>
        <v>192372.46712207794</v>
      </c>
      <c r="L142" s="382">
        <f>+L143+L144+L145+L146</f>
        <v>192372.46712207794</v>
      </c>
      <c r="M142" s="382">
        <f>K142-L142</f>
        <v>0</v>
      </c>
      <c r="N142" s="382" t="s">
        <v>768</v>
      </c>
      <c r="O142" s="382" t="s">
        <v>732</v>
      </c>
      <c r="P142" s="382">
        <v>0</v>
      </c>
      <c r="Q142" s="383">
        <v>37809.61638888889</v>
      </c>
      <c r="R142" s="384"/>
    </row>
    <row r="143" spans="1:18" ht="12.75" hidden="1" outlineLevel="4">
      <c r="A143" s="385" t="s">
        <v>1731</v>
      </c>
      <c r="B143" s="386" t="s">
        <v>1732</v>
      </c>
      <c r="C143" s="387">
        <v>0</v>
      </c>
      <c r="D143" s="387">
        <v>0</v>
      </c>
      <c r="E143" s="387">
        <v>204546.1875</v>
      </c>
      <c r="F143" s="387">
        <v>48831.58</v>
      </c>
      <c r="G143" s="387">
        <v>253377.76750000002</v>
      </c>
      <c r="H143" s="387">
        <v>0</v>
      </c>
      <c r="I143" s="387">
        <v>-204546.1875</v>
      </c>
      <c r="J143" s="387">
        <v>179162</v>
      </c>
      <c r="K143" s="387">
        <v>192372.46712207794</v>
      </c>
      <c r="L143" s="387">
        <v>192372.46712207794</v>
      </c>
      <c r="M143" s="387"/>
      <c r="N143" s="387" t="s">
        <v>736</v>
      </c>
      <c r="O143" s="387" t="s">
        <v>732</v>
      </c>
      <c r="P143" s="387">
        <v>0</v>
      </c>
      <c r="Q143" s="388">
        <v>37809.61638888889</v>
      </c>
      <c r="R143" s="390"/>
    </row>
    <row r="144" spans="1:18" ht="12.75" hidden="1" outlineLevel="4">
      <c r="A144" s="385" t="s">
        <v>1733</v>
      </c>
      <c r="B144" s="386" t="s">
        <v>1734</v>
      </c>
      <c r="C144" s="387">
        <v>0</v>
      </c>
      <c r="D144" s="387">
        <v>0</v>
      </c>
      <c r="E144" s="387">
        <v>0</v>
      </c>
      <c r="F144" s="387">
        <v>0</v>
      </c>
      <c r="G144" s="387">
        <v>0</v>
      </c>
      <c r="H144" s="387">
        <v>0</v>
      </c>
      <c r="I144" s="387">
        <v>0</v>
      </c>
      <c r="J144" s="387">
        <v>0</v>
      </c>
      <c r="K144" s="387">
        <v>0</v>
      </c>
      <c r="L144" s="387">
        <v>0</v>
      </c>
      <c r="M144" s="387"/>
      <c r="N144" s="387" t="s">
        <v>736</v>
      </c>
      <c r="O144" s="387" t="s">
        <v>732</v>
      </c>
      <c r="P144" s="387">
        <v>0</v>
      </c>
      <c r="Q144" s="388">
        <v>37679.708333333336</v>
      </c>
      <c r="R144" s="390"/>
    </row>
    <row r="145" spans="1:18" ht="12.75" hidden="1" outlineLevel="4">
      <c r="A145" s="385" t="s">
        <v>1735</v>
      </c>
      <c r="B145" s="386" t="s">
        <v>1736</v>
      </c>
      <c r="C145" s="387">
        <v>0</v>
      </c>
      <c r="D145" s="387">
        <v>0</v>
      </c>
      <c r="E145" s="387">
        <v>0</v>
      </c>
      <c r="F145" s="387">
        <v>0</v>
      </c>
      <c r="G145" s="387">
        <v>0</v>
      </c>
      <c r="H145" s="387">
        <v>0</v>
      </c>
      <c r="I145" s="387">
        <v>0</v>
      </c>
      <c r="J145" s="387">
        <v>0</v>
      </c>
      <c r="K145" s="387">
        <v>0</v>
      </c>
      <c r="L145" s="387">
        <v>0</v>
      </c>
      <c r="M145" s="387"/>
      <c r="N145" s="387" t="s">
        <v>736</v>
      </c>
      <c r="O145" s="387" t="s">
        <v>732</v>
      </c>
      <c r="P145" s="387">
        <v>0</v>
      </c>
      <c r="Q145" s="388">
        <v>37693.708333333336</v>
      </c>
      <c r="R145" s="390"/>
    </row>
    <row r="146" spans="1:18" ht="12.75" hidden="1" outlineLevel="4">
      <c r="A146" s="385" t="s">
        <v>1737</v>
      </c>
      <c r="B146" s="386" t="s">
        <v>1795</v>
      </c>
      <c r="C146" s="387">
        <v>0</v>
      </c>
      <c r="D146" s="387">
        <v>0</v>
      </c>
      <c r="E146" s="387">
        <v>0</v>
      </c>
      <c r="F146" s="387">
        <v>0</v>
      </c>
      <c r="G146" s="387">
        <v>0</v>
      </c>
      <c r="H146" s="387">
        <v>0</v>
      </c>
      <c r="I146" s="387">
        <v>0</v>
      </c>
      <c r="J146" s="387">
        <v>0</v>
      </c>
      <c r="K146" s="387">
        <v>0</v>
      </c>
      <c r="L146" s="387">
        <v>0</v>
      </c>
      <c r="M146" s="387"/>
      <c r="N146" s="387" t="s">
        <v>736</v>
      </c>
      <c r="O146" s="387" t="s">
        <v>732</v>
      </c>
      <c r="P146" s="387">
        <v>0</v>
      </c>
      <c r="Q146" s="388">
        <v>37756.708333333336</v>
      </c>
      <c r="R146" s="390"/>
    </row>
    <row r="147" spans="1:18" ht="12.75" outlineLevel="3">
      <c r="A147" s="380" t="s">
        <v>569</v>
      </c>
      <c r="B147" s="381" t="s">
        <v>769</v>
      </c>
      <c r="C147" s="382">
        <v>0</v>
      </c>
      <c r="D147" s="382">
        <v>0</v>
      </c>
      <c r="E147" s="382">
        <v>0</v>
      </c>
      <c r="F147" s="382">
        <v>0</v>
      </c>
      <c r="G147" s="382"/>
      <c r="H147" s="382"/>
      <c r="I147" s="382"/>
      <c r="J147" s="382"/>
      <c r="K147" s="382"/>
      <c r="L147" s="382"/>
      <c r="M147" s="382">
        <f>K147-L147</f>
        <v>0</v>
      </c>
      <c r="N147" s="382" t="s">
        <v>768</v>
      </c>
      <c r="O147" s="382" t="s">
        <v>732</v>
      </c>
      <c r="P147" s="382">
        <v>100</v>
      </c>
      <c r="Q147" s="383">
        <v>35935.708333333336</v>
      </c>
      <c r="R147" s="384"/>
    </row>
    <row r="148" spans="1:18" ht="12.75" outlineLevel="3" collapsed="1">
      <c r="A148" s="380" t="s">
        <v>1738</v>
      </c>
      <c r="B148" s="381" t="s">
        <v>1739</v>
      </c>
      <c r="C148" s="382">
        <f>0+C149+C150+C151+C152</f>
        <v>0</v>
      </c>
      <c r="D148" s="382">
        <f>0+D149+D150+D151+D152</f>
        <v>0</v>
      </c>
      <c r="E148" s="382">
        <f>0+E149+E150+E151+E152</f>
        <v>0</v>
      </c>
      <c r="F148" s="382">
        <f>0+F149+F150+F151+F152</f>
        <v>0</v>
      </c>
      <c r="G148" s="382">
        <f>F148+E148</f>
        <v>0</v>
      </c>
      <c r="H148" s="382">
        <f>D148-C148</f>
        <v>0</v>
      </c>
      <c r="I148" s="382">
        <f>D148-E148</f>
        <v>0</v>
      </c>
      <c r="J148" s="382">
        <f>+J149+J150+J151+J152</f>
        <v>62000</v>
      </c>
      <c r="K148" s="382">
        <f>+K149+K150+K151+K152</f>
        <v>66571.55513763428</v>
      </c>
      <c r="L148" s="382">
        <f>+L149+L150+L151+L152</f>
        <v>66571.55513763428</v>
      </c>
      <c r="M148" s="382">
        <f>K148-L148</f>
        <v>0</v>
      </c>
      <c r="N148" s="382" t="s">
        <v>770</v>
      </c>
      <c r="O148" s="382" t="s">
        <v>732</v>
      </c>
      <c r="P148" s="382">
        <v>0</v>
      </c>
      <c r="Q148" s="383">
        <v>37729.708333333336</v>
      </c>
      <c r="R148" s="384"/>
    </row>
    <row r="149" spans="1:18" ht="12.75" hidden="1" outlineLevel="4">
      <c r="A149" s="385" t="s">
        <v>1740</v>
      </c>
      <c r="B149" s="386" t="s">
        <v>1741</v>
      </c>
      <c r="C149" s="387">
        <v>0</v>
      </c>
      <c r="D149" s="387">
        <v>0</v>
      </c>
      <c r="E149" s="387">
        <v>0</v>
      </c>
      <c r="F149" s="387">
        <v>0</v>
      </c>
      <c r="G149" s="387">
        <v>0</v>
      </c>
      <c r="H149" s="387">
        <v>0</v>
      </c>
      <c r="I149" s="387">
        <v>0</v>
      </c>
      <c r="J149" s="387">
        <v>62000</v>
      </c>
      <c r="K149" s="387">
        <v>66571.55513763428</v>
      </c>
      <c r="L149" s="387">
        <v>66571.55513763428</v>
      </c>
      <c r="M149" s="387"/>
      <c r="N149" s="387" t="s">
        <v>737</v>
      </c>
      <c r="O149" s="387" t="s">
        <v>732</v>
      </c>
      <c r="P149" s="387">
        <v>0</v>
      </c>
      <c r="Q149" s="388">
        <v>37720.5</v>
      </c>
      <c r="R149" s="390"/>
    </row>
    <row r="150" spans="1:18" ht="12.75" hidden="1" outlineLevel="4">
      <c r="A150" s="385" t="s">
        <v>1742</v>
      </c>
      <c r="B150" s="386" t="s">
        <v>1743</v>
      </c>
      <c r="C150" s="387">
        <v>0</v>
      </c>
      <c r="D150" s="387">
        <v>0</v>
      </c>
      <c r="E150" s="387">
        <v>0</v>
      </c>
      <c r="F150" s="387">
        <v>0</v>
      </c>
      <c r="G150" s="387">
        <v>0</v>
      </c>
      <c r="H150" s="387">
        <v>0</v>
      </c>
      <c r="I150" s="387">
        <v>0</v>
      </c>
      <c r="J150" s="387">
        <v>0</v>
      </c>
      <c r="K150" s="387">
        <v>0</v>
      </c>
      <c r="L150" s="387">
        <v>0</v>
      </c>
      <c r="M150" s="387"/>
      <c r="N150" s="387" t="s">
        <v>737</v>
      </c>
      <c r="O150" s="387" t="s">
        <v>732</v>
      </c>
      <c r="P150" s="387">
        <v>0</v>
      </c>
      <c r="Q150" s="388">
        <v>37652.708333333336</v>
      </c>
      <c r="R150" s="390"/>
    </row>
    <row r="151" spans="1:18" ht="12.75" hidden="1" outlineLevel="4">
      <c r="A151" s="385" t="s">
        <v>1744</v>
      </c>
      <c r="B151" s="386" t="s">
        <v>1745</v>
      </c>
      <c r="C151" s="387">
        <v>0</v>
      </c>
      <c r="D151" s="387">
        <v>0</v>
      </c>
      <c r="E151" s="387">
        <v>0</v>
      </c>
      <c r="F151" s="387">
        <v>0</v>
      </c>
      <c r="G151" s="387">
        <v>0</v>
      </c>
      <c r="H151" s="387">
        <v>0</v>
      </c>
      <c r="I151" s="387">
        <v>0</v>
      </c>
      <c r="J151" s="387">
        <v>0</v>
      </c>
      <c r="K151" s="387">
        <v>0</v>
      </c>
      <c r="L151" s="387">
        <v>0</v>
      </c>
      <c r="M151" s="387"/>
      <c r="N151" s="387" t="s">
        <v>737</v>
      </c>
      <c r="O151" s="387" t="s">
        <v>732</v>
      </c>
      <c r="P151" s="387">
        <v>0</v>
      </c>
      <c r="Q151" s="388">
        <v>37666.708333333336</v>
      </c>
      <c r="R151" s="390"/>
    </row>
    <row r="152" spans="1:18" ht="12.75" hidden="1" outlineLevel="4">
      <c r="A152" s="385" t="s">
        <v>1746</v>
      </c>
      <c r="B152" s="386" t="s">
        <v>1795</v>
      </c>
      <c r="C152" s="387">
        <v>0</v>
      </c>
      <c r="D152" s="387">
        <v>0</v>
      </c>
      <c r="E152" s="387">
        <v>0</v>
      </c>
      <c r="F152" s="387">
        <v>0</v>
      </c>
      <c r="G152" s="387">
        <v>0</v>
      </c>
      <c r="H152" s="387">
        <v>0</v>
      </c>
      <c r="I152" s="387">
        <v>0</v>
      </c>
      <c r="J152" s="387">
        <v>0</v>
      </c>
      <c r="K152" s="387">
        <v>0</v>
      </c>
      <c r="L152" s="387">
        <v>0</v>
      </c>
      <c r="M152" s="387"/>
      <c r="N152" s="387" t="s">
        <v>737</v>
      </c>
      <c r="O152" s="387" t="s">
        <v>732</v>
      </c>
      <c r="P152" s="387">
        <v>0</v>
      </c>
      <c r="Q152" s="388">
        <v>37729.708333333336</v>
      </c>
      <c r="R152" s="390"/>
    </row>
    <row r="153" spans="1:18" ht="12.75" outlineLevel="3" collapsed="1">
      <c r="A153" s="380" t="s">
        <v>1747</v>
      </c>
      <c r="B153" s="381" t="s">
        <v>1829</v>
      </c>
      <c r="C153" s="382">
        <f>0+C154+C155+C156</f>
        <v>0</v>
      </c>
      <c r="D153" s="382">
        <f>0+D154+D155+D156</f>
        <v>0</v>
      </c>
      <c r="E153" s="382">
        <f>0+E154+E155+E156</f>
        <v>0</v>
      </c>
      <c r="F153" s="382">
        <f>0+F154+F155+F156</f>
        <v>0</v>
      </c>
      <c r="G153" s="382">
        <f>F153+E153</f>
        <v>0</v>
      </c>
      <c r="H153" s="382">
        <f>D153-C153</f>
        <v>0</v>
      </c>
      <c r="I153" s="382">
        <f>D153-E153</f>
        <v>0</v>
      </c>
      <c r="J153" s="382">
        <f>+J154+J155+J156</f>
        <v>36204</v>
      </c>
      <c r="K153" s="382">
        <f>+K154+K155+K156</f>
        <v>38873.49326133728</v>
      </c>
      <c r="L153" s="382">
        <f>+L154+L155+L156</f>
        <v>38873.49326133728</v>
      </c>
      <c r="M153" s="382">
        <f>K153-L153</f>
        <v>0</v>
      </c>
      <c r="N153" s="382" t="s">
        <v>768</v>
      </c>
      <c r="O153" s="382" t="s">
        <v>732</v>
      </c>
      <c r="P153" s="382">
        <v>0</v>
      </c>
      <c r="Q153" s="383">
        <v>37805.708333333336</v>
      </c>
      <c r="R153" s="384"/>
    </row>
    <row r="154" spans="1:18" ht="12.75" hidden="1" outlineLevel="4">
      <c r="A154" s="385" t="s">
        <v>1748</v>
      </c>
      <c r="B154" s="386" t="s">
        <v>1749</v>
      </c>
      <c r="C154" s="387">
        <v>0</v>
      </c>
      <c r="D154" s="387">
        <v>0</v>
      </c>
      <c r="E154" s="387">
        <v>0</v>
      </c>
      <c r="F154" s="387">
        <v>0</v>
      </c>
      <c r="G154" s="387">
        <v>0</v>
      </c>
      <c r="H154" s="387">
        <v>0</v>
      </c>
      <c r="I154" s="387">
        <v>0</v>
      </c>
      <c r="J154" s="387">
        <v>36204</v>
      </c>
      <c r="K154" s="387">
        <v>38873.49326133728</v>
      </c>
      <c r="L154" s="387">
        <v>38873.49326133728</v>
      </c>
      <c r="M154" s="387"/>
      <c r="N154" s="387" t="s">
        <v>780</v>
      </c>
      <c r="O154" s="387" t="s">
        <v>732</v>
      </c>
      <c r="P154" s="387">
        <v>0</v>
      </c>
      <c r="Q154" s="388">
        <v>37763.708333333336</v>
      </c>
      <c r="R154" s="390"/>
    </row>
    <row r="155" spans="1:18" ht="12.75" hidden="1" outlineLevel="4">
      <c r="A155" s="385" t="s">
        <v>1750</v>
      </c>
      <c r="B155" s="386" t="s">
        <v>1751</v>
      </c>
      <c r="C155" s="387">
        <v>0</v>
      </c>
      <c r="D155" s="387">
        <v>0</v>
      </c>
      <c r="E155" s="387">
        <v>0</v>
      </c>
      <c r="F155" s="387">
        <v>0</v>
      </c>
      <c r="G155" s="387">
        <v>0</v>
      </c>
      <c r="H155" s="387">
        <v>0</v>
      </c>
      <c r="I155" s="387">
        <v>0</v>
      </c>
      <c r="J155" s="387">
        <v>0</v>
      </c>
      <c r="K155" s="387">
        <v>0</v>
      </c>
      <c r="L155" s="387">
        <v>0</v>
      </c>
      <c r="M155" s="387"/>
      <c r="N155" s="387" t="s">
        <v>736</v>
      </c>
      <c r="O155" s="387" t="s">
        <v>732</v>
      </c>
      <c r="P155" s="387">
        <v>0</v>
      </c>
      <c r="Q155" s="388">
        <v>37791.708333333336</v>
      </c>
      <c r="R155" s="390"/>
    </row>
    <row r="156" spans="1:18" ht="12.75" hidden="1" outlineLevel="4">
      <c r="A156" s="385" t="s">
        <v>1752</v>
      </c>
      <c r="B156" s="386" t="s">
        <v>1753</v>
      </c>
      <c r="C156" s="387">
        <v>0</v>
      </c>
      <c r="D156" s="387">
        <v>0</v>
      </c>
      <c r="E156" s="387">
        <v>0</v>
      </c>
      <c r="F156" s="387">
        <v>0</v>
      </c>
      <c r="G156" s="387">
        <v>0</v>
      </c>
      <c r="H156" s="387">
        <v>0</v>
      </c>
      <c r="I156" s="387">
        <v>0</v>
      </c>
      <c r="J156" s="387">
        <v>0</v>
      </c>
      <c r="K156" s="387">
        <v>0</v>
      </c>
      <c r="L156" s="387">
        <v>0</v>
      </c>
      <c r="M156" s="387"/>
      <c r="N156" s="387" t="s">
        <v>736</v>
      </c>
      <c r="O156" s="387" t="s">
        <v>732</v>
      </c>
      <c r="P156" s="387">
        <v>0</v>
      </c>
      <c r="Q156" s="388">
        <v>37805.708333333336</v>
      </c>
      <c r="R156" s="390"/>
    </row>
    <row r="157" spans="1:18" ht="12.75" outlineLevel="3">
      <c r="A157" s="401" t="s">
        <v>1754</v>
      </c>
      <c r="B157" s="402" t="s">
        <v>1755</v>
      </c>
      <c r="C157" s="387">
        <v>0</v>
      </c>
      <c r="D157" s="387">
        <v>0</v>
      </c>
      <c r="E157" s="387">
        <v>0</v>
      </c>
      <c r="F157" s="387">
        <v>0</v>
      </c>
      <c r="G157" s="387">
        <v>0</v>
      </c>
      <c r="H157" s="387">
        <v>0</v>
      </c>
      <c r="I157" s="387">
        <v>0</v>
      </c>
      <c r="J157" s="387">
        <v>9000</v>
      </c>
      <c r="K157" s="387">
        <v>9905.202627182007</v>
      </c>
      <c r="L157" s="387">
        <v>9905.202627182007</v>
      </c>
      <c r="M157" s="387"/>
      <c r="N157" s="387" t="s">
        <v>736</v>
      </c>
      <c r="O157" s="387" t="s">
        <v>732</v>
      </c>
      <c r="P157" s="387">
        <v>0</v>
      </c>
      <c r="Q157" s="388">
        <v>38517.708333333336</v>
      </c>
      <c r="R157" s="390"/>
    </row>
    <row r="158" spans="1:18" ht="12.75" outlineLevel="3">
      <c r="A158" s="380" t="s">
        <v>570</v>
      </c>
      <c r="B158" s="381" t="s">
        <v>571</v>
      </c>
      <c r="C158" s="382">
        <v>0</v>
      </c>
      <c r="D158" s="382">
        <v>0</v>
      </c>
      <c r="E158" s="382">
        <v>0</v>
      </c>
      <c r="F158" s="382">
        <v>0</v>
      </c>
      <c r="G158" s="382"/>
      <c r="H158" s="382"/>
      <c r="I158" s="382"/>
      <c r="J158" s="382"/>
      <c r="K158" s="382"/>
      <c r="L158" s="382"/>
      <c r="M158" s="382">
        <f>K158-L158</f>
        <v>0</v>
      </c>
      <c r="N158" s="382" t="s">
        <v>768</v>
      </c>
      <c r="O158" s="382" t="s">
        <v>732</v>
      </c>
      <c r="P158" s="382">
        <v>100</v>
      </c>
      <c r="Q158" s="383">
        <v>35773.708333333336</v>
      </c>
      <c r="R158" s="384"/>
    </row>
    <row r="159" spans="1:18" ht="12.75" outlineLevel="3" collapsed="1">
      <c r="A159" s="380" t="s">
        <v>1756</v>
      </c>
      <c r="B159" s="381" t="s">
        <v>1757</v>
      </c>
      <c r="C159" s="382">
        <f>0+C160+C161+C162</f>
        <v>0</v>
      </c>
      <c r="D159" s="382">
        <f>0+D160+D161+D162</f>
        <v>0</v>
      </c>
      <c r="E159" s="382">
        <f>0+E160+E161+E162</f>
        <v>0</v>
      </c>
      <c r="F159" s="382">
        <f>0+F160+F161+F162</f>
        <v>0</v>
      </c>
      <c r="G159" s="382">
        <f>F159+E159</f>
        <v>0</v>
      </c>
      <c r="H159" s="382">
        <f>D159-C159</f>
        <v>0</v>
      </c>
      <c r="I159" s="382">
        <f>D159-E159</f>
        <v>0</v>
      </c>
      <c r="J159" s="382">
        <f>+J160+J161+J162</f>
        <v>0</v>
      </c>
      <c r="K159" s="382">
        <f>+K160+K161+K162</f>
        <v>0</v>
      </c>
      <c r="L159" s="382">
        <f>+L160+L161+L162</f>
        <v>0</v>
      </c>
      <c r="M159" s="382">
        <f>K159-L159</f>
        <v>0</v>
      </c>
      <c r="N159" s="382" t="s">
        <v>768</v>
      </c>
      <c r="O159" s="382" t="s">
        <v>732</v>
      </c>
      <c r="P159" s="382">
        <v>0</v>
      </c>
      <c r="Q159" s="383">
        <v>37813.708333333336</v>
      </c>
      <c r="R159" s="384"/>
    </row>
    <row r="160" spans="1:18" ht="12.75" hidden="1" outlineLevel="4">
      <c r="A160" s="385" t="s">
        <v>1758</v>
      </c>
      <c r="B160" s="386" t="s">
        <v>1759</v>
      </c>
      <c r="C160" s="387">
        <v>0</v>
      </c>
      <c r="D160" s="387">
        <v>0</v>
      </c>
      <c r="E160" s="387">
        <v>0</v>
      </c>
      <c r="F160" s="387">
        <v>0</v>
      </c>
      <c r="G160" s="387">
        <v>0</v>
      </c>
      <c r="H160" s="387">
        <v>0</v>
      </c>
      <c r="I160" s="387">
        <v>0</v>
      </c>
      <c r="J160" s="387">
        <v>0</v>
      </c>
      <c r="K160" s="387">
        <v>0</v>
      </c>
      <c r="L160" s="387">
        <v>0</v>
      </c>
      <c r="M160" s="387"/>
      <c r="N160" s="387" t="s">
        <v>736</v>
      </c>
      <c r="O160" s="387" t="s">
        <v>732</v>
      </c>
      <c r="P160" s="387">
        <v>0</v>
      </c>
      <c r="Q160" s="388">
        <v>37799.708333333336</v>
      </c>
      <c r="R160" s="390"/>
    </row>
    <row r="161" spans="1:18" ht="12.75" hidden="1" outlineLevel="4">
      <c r="A161" s="385" t="s">
        <v>1760</v>
      </c>
      <c r="B161" s="386" t="s">
        <v>1761</v>
      </c>
      <c r="C161" s="387">
        <v>0</v>
      </c>
      <c r="D161" s="387">
        <v>0</v>
      </c>
      <c r="E161" s="387">
        <v>0</v>
      </c>
      <c r="F161" s="387">
        <v>0</v>
      </c>
      <c r="G161" s="387">
        <v>0</v>
      </c>
      <c r="H161" s="387">
        <v>0</v>
      </c>
      <c r="I161" s="387">
        <v>0</v>
      </c>
      <c r="J161" s="387">
        <v>0</v>
      </c>
      <c r="K161" s="387">
        <v>0</v>
      </c>
      <c r="L161" s="387">
        <v>0</v>
      </c>
      <c r="M161" s="387"/>
      <c r="N161" s="387" t="s">
        <v>736</v>
      </c>
      <c r="O161" s="387" t="s">
        <v>732</v>
      </c>
      <c r="P161" s="387">
        <v>0</v>
      </c>
      <c r="Q161" s="388">
        <v>37813.708333333336</v>
      </c>
      <c r="R161" s="390"/>
    </row>
    <row r="162" spans="1:18" ht="12.75" hidden="1" outlineLevel="4">
      <c r="A162" s="385" t="s">
        <v>572</v>
      </c>
      <c r="B162" s="386" t="s">
        <v>573</v>
      </c>
      <c r="C162" s="387">
        <v>0</v>
      </c>
      <c r="D162" s="387">
        <v>0</v>
      </c>
      <c r="E162" s="387">
        <v>0</v>
      </c>
      <c r="F162" s="387">
        <v>0</v>
      </c>
      <c r="G162" s="387">
        <v>0</v>
      </c>
      <c r="H162" s="387">
        <v>0</v>
      </c>
      <c r="I162" s="387">
        <v>0</v>
      </c>
      <c r="J162" s="387">
        <v>0</v>
      </c>
      <c r="K162" s="387">
        <v>0</v>
      </c>
      <c r="L162" s="387">
        <v>0</v>
      </c>
      <c r="M162" s="387"/>
      <c r="N162" s="387" t="s">
        <v>737</v>
      </c>
      <c r="O162" s="387" t="s">
        <v>732</v>
      </c>
      <c r="P162" s="387">
        <v>0</v>
      </c>
      <c r="Q162" s="388">
        <v>37466.708333333336</v>
      </c>
      <c r="R162" s="390"/>
    </row>
    <row r="163" spans="1:18" ht="12.75" outlineLevel="3" collapsed="1">
      <c r="A163" s="380" t="s">
        <v>1762</v>
      </c>
      <c r="B163" s="381" t="s">
        <v>10</v>
      </c>
      <c r="C163" s="382">
        <f>0+C164+C165</f>
        <v>0</v>
      </c>
      <c r="D163" s="382">
        <f>0+D164+D165</f>
        <v>0</v>
      </c>
      <c r="E163" s="382">
        <f>0+E164+E165</f>
        <v>0</v>
      </c>
      <c r="F163" s="382">
        <f>0+F164+F165</f>
        <v>0</v>
      </c>
      <c r="G163" s="382">
        <f>F163+E163</f>
        <v>0</v>
      </c>
      <c r="H163" s="382">
        <f>D163-C163</f>
        <v>0</v>
      </c>
      <c r="I163" s="382">
        <f>D163-E163</f>
        <v>0</v>
      </c>
      <c r="J163" s="382">
        <f>+J164+J165</f>
        <v>0</v>
      </c>
      <c r="K163" s="382">
        <f>+K164+K165</f>
        <v>0</v>
      </c>
      <c r="L163" s="382">
        <f>+L164+L165</f>
        <v>0</v>
      </c>
      <c r="M163" s="382">
        <f>K163-L163</f>
        <v>0</v>
      </c>
      <c r="N163" s="382" t="s">
        <v>768</v>
      </c>
      <c r="O163" s="382" t="s">
        <v>732</v>
      </c>
      <c r="P163" s="382">
        <v>0</v>
      </c>
      <c r="Q163" s="383">
        <v>37813.708333333336</v>
      </c>
      <c r="R163" s="384"/>
    </row>
    <row r="164" spans="1:18" ht="12.75" hidden="1" outlineLevel="4">
      <c r="A164" s="385" t="s">
        <v>1763</v>
      </c>
      <c r="B164" s="386" t="s">
        <v>12</v>
      </c>
      <c r="C164" s="387">
        <v>0</v>
      </c>
      <c r="D164" s="387">
        <v>0</v>
      </c>
      <c r="E164" s="387">
        <v>0</v>
      </c>
      <c r="F164" s="387">
        <v>0</v>
      </c>
      <c r="G164" s="387">
        <v>0</v>
      </c>
      <c r="H164" s="387">
        <v>0</v>
      </c>
      <c r="I164" s="387">
        <v>0</v>
      </c>
      <c r="J164" s="387">
        <v>0</v>
      </c>
      <c r="K164" s="387">
        <v>0</v>
      </c>
      <c r="L164" s="387">
        <v>0</v>
      </c>
      <c r="M164" s="387"/>
      <c r="N164" s="387" t="s">
        <v>736</v>
      </c>
      <c r="O164" s="387" t="s">
        <v>732</v>
      </c>
      <c r="P164" s="387">
        <v>0</v>
      </c>
      <c r="Q164" s="388">
        <v>37799.708333333336</v>
      </c>
      <c r="R164" s="390"/>
    </row>
    <row r="165" spans="1:18" ht="12.75" hidden="1" outlineLevel="4">
      <c r="A165" s="385" t="s">
        <v>1764</v>
      </c>
      <c r="B165" s="386" t="s">
        <v>14</v>
      </c>
      <c r="C165" s="387">
        <v>0</v>
      </c>
      <c r="D165" s="387">
        <v>0</v>
      </c>
      <c r="E165" s="387">
        <v>0</v>
      </c>
      <c r="F165" s="387">
        <v>0</v>
      </c>
      <c r="G165" s="387">
        <v>0</v>
      </c>
      <c r="H165" s="387">
        <v>0</v>
      </c>
      <c r="I165" s="387">
        <v>0</v>
      </c>
      <c r="J165" s="387">
        <v>0</v>
      </c>
      <c r="K165" s="387">
        <v>0</v>
      </c>
      <c r="L165" s="387">
        <v>0</v>
      </c>
      <c r="M165" s="387"/>
      <c r="N165" s="387" t="s">
        <v>736</v>
      </c>
      <c r="O165" s="387" t="s">
        <v>732</v>
      </c>
      <c r="P165" s="387">
        <v>0</v>
      </c>
      <c r="Q165" s="388">
        <v>37813.708333333336</v>
      </c>
      <c r="R165" s="390"/>
    </row>
    <row r="166" spans="1:18" ht="12.75" outlineLevel="3">
      <c r="A166" s="380" t="s">
        <v>1765</v>
      </c>
      <c r="B166" s="381" t="s">
        <v>1586</v>
      </c>
      <c r="C166" s="382">
        <f>0+C167+C168+C169+C170</f>
        <v>0</v>
      </c>
      <c r="D166" s="382">
        <f>0+D167+D168+D169+D170</f>
        <v>0</v>
      </c>
      <c r="E166" s="382">
        <f>0+E167+E168+E169+E170</f>
        <v>0</v>
      </c>
      <c r="F166" s="382">
        <f>0+F167+F168+F169+F170</f>
        <v>0</v>
      </c>
      <c r="G166" s="382">
        <f>F166+E166</f>
        <v>0</v>
      </c>
      <c r="H166" s="382">
        <f>D166-C166</f>
        <v>0</v>
      </c>
      <c r="I166" s="382">
        <f>D166-E166</f>
        <v>0</v>
      </c>
      <c r="J166" s="382">
        <f>+J167+J168+J169+J170</f>
        <v>7500</v>
      </c>
      <c r="K166" s="382">
        <f>+K167+K168+K169+K170</f>
        <v>8053.010702133179</v>
      </c>
      <c r="L166" s="382">
        <f>+L167+L168+L169+L170</f>
        <v>8053.010702133179</v>
      </c>
      <c r="M166" s="382">
        <f>K166-L166</f>
        <v>0</v>
      </c>
      <c r="N166" s="382" t="s">
        <v>1003</v>
      </c>
      <c r="O166" s="382" t="s">
        <v>732</v>
      </c>
      <c r="P166" s="382">
        <v>0</v>
      </c>
      <c r="Q166" s="383">
        <v>38000.708333333336</v>
      </c>
      <c r="R166" s="384"/>
    </row>
    <row r="167" spans="1:18" ht="12.75" outlineLevel="4">
      <c r="A167" s="385" t="s">
        <v>1766</v>
      </c>
      <c r="B167" s="386" t="s">
        <v>1525</v>
      </c>
      <c r="C167" s="387">
        <v>0</v>
      </c>
      <c r="D167" s="387">
        <v>0</v>
      </c>
      <c r="E167" s="387">
        <v>0</v>
      </c>
      <c r="F167" s="387">
        <v>0</v>
      </c>
      <c r="G167" s="387">
        <v>0</v>
      </c>
      <c r="H167" s="387">
        <v>0</v>
      </c>
      <c r="I167" s="387">
        <v>0</v>
      </c>
      <c r="J167" s="387">
        <v>7500</v>
      </c>
      <c r="K167" s="387">
        <v>8053.010702133179</v>
      </c>
      <c r="L167" s="387">
        <v>8053.010702133179</v>
      </c>
      <c r="M167" s="387"/>
      <c r="N167" s="387" t="s">
        <v>740</v>
      </c>
      <c r="O167" s="387" t="s">
        <v>732</v>
      </c>
      <c r="P167" s="387">
        <v>0</v>
      </c>
      <c r="Q167" s="388">
        <v>37942.708333333336</v>
      </c>
      <c r="R167" s="390"/>
    </row>
    <row r="168" spans="1:18" ht="12.75" outlineLevel="4">
      <c r="A168" s="385" t="s">
        <v>1768</v>
      </c>
      <c r="B168" s="386" t="s">
        <v>1588</v>
      </c>
      <c r="C168" s="387">
        <v>0</v>
      </c>
      <c r="D168" s="387">
        <v>0</v>
      </c>
      <c r="E168" s="387">
        <v>0</v>
      </c>
      <c r="F168" s="387">
        <v>0</v>
      </c>
      <c r="G168" s="387">
        <v>0</v>
      </c>
      <c r="H168" s="387">
        <v>0</v>
      </c>
      <c r="I168" s="387">
        <v>0</v>
      </c>
      <c r="J168" s="387">
        <v>0</v>
      </c>
      <c r="K168" s="387">
        <v>0</v>
      </c>
      <c r="L168" s="387">
        <v>0</v>
      </c>
      <c r="M168" s="387"/>
      <c r="N168" s="387" t="s">
        <v>740</v>
      </c>
      <c r="O168" s="387" t="s">
        <v>732</v>
      </c>
      <c r="P168" s="387">
        <v>0</v>
      </c>
      <c r="Q168" s="388">
        <v>37970.708333333336</v>
      </c>
      <c r="R168" s="390"/>
    </row>
    <row r="169" spans="1:18" ht="12.75" outlineLevel="4">
      <c r="A169" s="385" t="s">
        <v>1769</v>
      </c>
      <c r="B169" s="386" t="s">
        <v>1589</v>
      </c>
      <c r="C169" s="387">
        <v>0</v>
      </c>
      <c r="D169" s="387">
        <v>0</v>
      </c>
      <c r="E169" s="387">
        <v>0</v>
      </c>
      <c r="F169" s="387">
        <v>0</v>
      </c>
      <c r="G169" s="387">
        <v>0</v>
      </c>
      <c r="H169" s="387">
        <v>0</v>
      </c>
      <c r="I169" s="387">
        <v>0</v>
      </c>
      <c r="J169" s="387">
        <v>0</v>
      </c>
      <c r="K169" s="387">
        <v>0</v>
      </c>
      <c r="L169" s="387">
        <v>0</v>
      </c>
      <c r="M169" s="387"/>
      <c r="N169" s="387" t="s">
        <v>740</v>
      </c>
      <c r="O169" s="387" t="s">
        <v>732</v>
      </c>
      <c r="P169" s="387">
        <v>0</v>
      </c>
      <c r="Q169" s="388">
        <v>38000.708333333336</v>
      </c>
      <c r="R169" s="390"/>
    </row>
    <row r="170" spans="1:18" ht="12.75" outlineLevel="4">
      <c r="A170" s="385" t="s">
        <v>1770</v>
      </c>
      <c r="B170" s="386" t="s">
        <v>1795</v>
      </c>
      <c r="C170" s="387">
        <v>0</v>
      </c>
      <c r="D170" s="387">
        <v>0</v>
      </c>
      <c r="E170" s="387">
        <v>0</v>
      </c>
      <c r="F170" s="387">
        <v>0</v>
      </c>
      <c r="G170" s="387">
        <v>0</v>
      </c>
      <c r="H170" s="387">
        <v>0</v>
      </c>
      <c r="I170" s="387">
        <v>0</v>
      </c>
      <c r="J170" s="387">
        <v>0</v>
      </c>
      <c r="K170" s="387">
        <v>0</v>
      </c>
      <c r="L170" s="387">
        <v>0</v>
      </c>
      <c r="M170" s="387"/>
      <c r="N170" s="387" t="s">
        <v>740</v>
      </c>
      <c r="O170" s="387" t="s">
        <v>732</v>
      </c>
      <c r="P170" s="387">
        <v>0</v>
      </c>
      <c r="Q170" s="388">
        <v>37907.708333333336</v>
      </c>
      <c r="R170" s="390"/>
    </row>
    <row r="171" spans="1:18" ht="12.75" outlineLevel="3" collapsed="1">
      <c r="A171" s="380" t="s">
        <v>1004</v>
      </c>
      <c r="B171" s="381" t="s">
        <v>1005</v>
      </c>
      <c r="C171" s="382">
        <f>0+C172+C173+C174</f>
        <v>47035.166015625</v>
      </c>
      <c r="D171" s="382">
        <f>0+D172+D173+D174</f>
        <v>0</v>
      </c>
      <c r="E171" s="382">
        <f>0+E172+E173+E174</f>
        <v>0</v>
      </c>
      <c r="F171" s="382">
        <f>0+F172+F173+F174</f>
        <v>0</v>
      </c>
      <c r="G171" s="382">
        <f>F171+E171</f>
        <v>0</v>
      </c>
      <c r="H171" s="382">
        <f>D171-C171</f>
        <v>-47035.166015625</v>
      </c>
      <c r="I171" s="382">
        <f>D171-E171</f>
        <v>0</v>
      </c>
      <c r="J171" s="382">
        <f>+J172+J173+J174</f>
        <v>61140</v>
      </c>
      <c r="K171" s="382">
        <f>+K172+K173+K174</f>
        <v>65648.14324378967</v>
      </c>
      <c r="L171" s="382">
        <f>+L172+L173+L174</f>
        <v>65648.14324378967</v>
      </c>
      <c r="M171" s="382">
        <f>K171-L171</f>
        <v>0</v>
      </c>
      <c r="N171" s="382" t="s">
        <v>768</v>
      </c>
      <c r="O171" s="382" t="s">
        <v>732</v>
      </c>
      <c r="P171" s="382">
        <v>0</v>
      </c>
      <c r="Q171" s="383">
        <v>37893.708333333336</v>
      </c>
      <c r="R171" s="384"/>
    </row>
    <row r="172" spans="1:18" ht="12.75" hidden="1" outlineLevel="4">
      <c r="A172" s="385" t="s">
        <v>1006</v>
      </c>
      <c r="B172" s="386" t="s">
        <v>1007</v>
      </c>
      <c r="C172" s="387">
        <v>4085.775390625</v>
      </c>
      <c r="D172" s="387">
        <v>0</v>
      </c>
      <c r="E172" s="387">
        <v>0</v>
      </c>
      <c r="F172" s="387">
        <v>0</v>
      </c>
      <c r="G172" s="387">
        <v>0</v>
      </c>
      <c r="H172" s="387">
        <v>-4085.775390625</v>
      </c>
      <c r="I172" s="387">
        <v>0</v>
      </c>
      <c r="J172" s="387">
        <v>21140</v>
      </c>
      <c r="K172" s="387">
        <v>22698.75283241272</v>
      </c>
      <c r="L172" s="387">
        <v>22698.75283241272</v>
      </c>
      <c r="M172" s="387"/>
      <c r="N172" s="387" t="s">
        <v>736</v>
      </c>
      <c r="O172" s="387" t="s">
        <v>732</v>
      </c>
      <c r="P172" s="387">
        <v>0</v>
      </c>
      <c r="Q172" s="388">
        <v>37893.708333333336</v>
      </c>
      <c r="R172" s="390"/>
    </row>
    <row r="173" spans="1:18" ht="12.75" hidden="1" outlineLevel="4">
      <c r="A173" s="385" t="s">
        <v>1008</v>
      </c>
      <c r="B173" s="386" t="s">
        <v>1009</v>
      </c>
      <c r="C173" s="387">
        <v>10737.34765625</v>
      </c>
      <c r="D173" s="387">
        <v>0</v>
      </c>
      <c r="E173" s="387">
        <v>0</v>
      </c>
      <c r="F173" s="387">
        <v>0</v>
      </c>
      <c r="G173" s="387">
        <v>0</v>
      </c>
      <c r="H173" s="387">
        <v>-10737.34765625</v>
      </c>
      <c r="I173" s="387">
        <v>0</v>
      </c>
      <c r="J173" s="387">
        <v>10000</v>
      </c>
      <c r="K173" s="387">
        <v>10737.347602844238</v>
      </c>
      <c r="L173" s="387">
        <v>10737.347602844238</v>
      </c>
      <c r="M173" s="387"/>
      <c r="N173" s="387" t="s">
        <v>740</v>
      </c>
      <c r="O173" s="387" t="s">
        <v>735</v>
      </c>
      <c r="P173" s="387">
        <v>0</v>
      </c>
      <c r="Q173" s="388">
        <v>37893.708333333336</v>
      </c>
      <c r="R173" s="390"/>
    </row>
    <row r="174" spans="1:18" ht="12.75" hidden="1" outlineLevel="4">
      <c r="A174" s="385" t="s">
        <v>664</v>
      </c>
      <c r="B174" s="386" t="s">
        <v>1009</v>
      </c>
      <c r="C174" s="387">
        <v>32212.04296875</v>
      </c>
      <c r="D174" s="387">
        <v>0</v>
      </c>
      <c r="E174" s="387">
        <v>0</v>
      </c>
      <c r="F174" s="387">
        <v>0</v>
      </c>
      <c r="G174" s="387">
        <v>0</v>
      </c>
      <c r="H174" s="387">
        <v>-32212.04296875</v>
      </c>
      <c r="I174" s="387">
        <v>0</v>
      </c>
      <c r="J174" s="387">
        <v>30000</v>
      </c>
      <c r="K174" s="387">
        <v>32212.042808532715</v>
      </c>
      <c r="L174" s="387">
        <v>32212.042808532715</v>
      </c>
      <c r="M174" s="387"/>
      <c r="N174" s="387" t="s">
        <v>740</v>
      </c>
      <c r="O174" s="387" t="s">
        <v>735</v>
      </c>
      <c r="P174" s="387">
        <v>0</v>
      </c>
      <c r="Q174" s="388">
        <v>37893.708333333336</v>
      </c>
      <c r="R174" s="390"/>
    </row>
    <row r="175" spans="1:18" ht="12.75" outlineLevel="1" collapsed="1">
      <c r="A175" s="370">
        <v>2.3</v>
      </c>
      <c r="B175" s="371" t="s">
        <v>1772</v>
      </c>
      <c r="C175" s="372" t="e">
        <f>0+#REF!+#REF!+#REF!+#REF!+#REF!+#REF!+C182+#REF!+#REF!+#REF!</f>
        <v>#REF!</v>
      </c>
      <c r="D175" s="372" t="e">
        <f>0+#REF!+#REF!+#REF!+#REF!+#REF!+#REF!+D182+#REF!+#REF!+#REF!</f>
        <v>#REF!</v>
      </c>
      <c r="E175" s="372" t="e">
        <f>0+#REF!+#REF!+#REF!+#REF!+#REF!+#REF!+E182+#REF!+#REF!+#REF!</f>
        <v>#REF!</v>
      </c>
      <c r="F175" s="372" t="e">
        <f>0+#REF!+#REF!+#REF!+#REF!+#REF!+#REF!+F182+#REF!+#REF!+#REF!</f>
        <v>#REF!</v>
      </c>
      <c r="G175" s="372" t="e">
        <f>F175+E175</f>
        <v>#REF!</v>
      </c>
      <c r="H175" s="372" t="e">
        <f>D175-C175</f>
        <v>#REF!</v>
      </c>
      <c r="I175" s="372" t="e">
        <f>D175-E175</f>
        <v>#REF!</v>
      </c>
      <c r="J175" s="372" t="e">
        <f>+#REF!+#REF!+#REF!+#REF!+#REF!+#REF!+J182+#REF!+#REF!+#REF!</f>
        <v>#REF!</v>
      </c>
      <c r="K175" s="372" t="e">
        <f>+#REF!+#REF!+#REF!+#REF!+#REF!+#REF!+K182+#REF!+#REF!+#REF!</f>
        <v>#REF!</v>
      </c>
      <c r="L175" s="372" t="e">
        <f>+#REF!+#REF!+#REF!+#REF!+#REF!+#REF!+L182+#REF!+#REF!+#REF!</f>
        <v>#REF!</v>
      </c>
      <c r="M175" s="372" t="e">
        <f>K175-L175</f>
        <v>#REF!</v>
      </c>
      <c r="N175" s="372" t="s">
        <v>574</v>
      </c>
      <c r="O175" s="372" t="s">
        <v>732</v>
      </c>
      <c r="P175" s="372">
        <v>21</v>
      </c>
      <c r="Q175" s="373">
        <v>38898.333333333336</v>
      </c>
      <c r="R175" s="374"/>
    </row>
    <row r="176" spans="1:18" ht="12.75" hidden="1" outlineLevel="4">
      <c r="A176" s="385" t="s">
        <v>1010</v>
      </c>
      <c r="B176" s="386" t="s">
        <v>990</v>
      </c>
      <c r="C176" s="387">
        <v>9396.896484375</v>
      </c>
      <c r="D176" s="387">
        <v>0</v>
      </c>
      <c r="E176" s="387">
        <v>0</v>
      </c>
      <c r="F176" s="387">
        <v>0</v>
      </c>
      <c r="G176" s="387">
        <v>0</v>
      </c>
      <c r="H176" s="387">
        <v>-9396.896484375</v>
      </c>
      <c r="I176" s="387">
        <v>0</v>
      </c>
      <c r="J176" s="387">
        <v>8751.6</v>
      </c>
      <c r="K176" s="387">
        <v>9396.897128105164</v>
      </c>
      <c r="L176" s="387">
        <v>9396.897128105164</v>
      </c>
      <c r="M176" s="387"/>
      <c r="N176" s="387" t="s">
        <v>737</v>
      </c>
      <c r="O176" s="387" t="s">
        <v>732</v>
      </c>
      <c r="P176" s="387">
        <v>0</v>
      </c>
      <c r="Q176" s="388">
        <v>37655.708333333336</v>
      </c>
      <c r="R176" s="390"/>
    </row>
    <row r="177" spans="1:18" ht="12.75" hidden="1" outlineLevel="4">
      <c r="A177" s="385" t="s">
        <v>1011</v>
      </c>
      <c r="B177" s="386" t="s">
        <v>991</v>
      </c>
      <c r="C177" s="387">
        <v>3754.742919921875</v>
      </c>
      <c r="D177" s="387">
        <v>0</v>
      </c>
      <c r="E177" s="387">
        <v>0</v>
      </c>
      <c r="F177" s="387">
        <v>0</v>
      </c>
      <c r="G177" s="387">
        <v>0</v>
      </c>
      <c r="H177" s="387">
        <v>-3754.742919921875</v>
      </c>
      <c r="I177" s="387">
        <v>0</v>
      </c>
      <c r="J177" s="387">
        <v>3496.9</v>
      </c>
      <c r="K177" s="387">
        <v>3754.7430832386017</v>
      </c>
      <c r="L177" s="387">
        <v>3754.7430832386017</v>
      </c>
      <c r="M177" s="387"/>
      <c r="N177" s="387" t="s">
        <v>737</v>
      </c>
      <c r="O177" s="387" t="s">
        <v>732</v>
      </c>
      <c r="P177" s="387">
        <v>0</v>
      </c>
      <c r="Q177" s="388">
        <v>37655.708333333336</v>
      </c>
      <c r="R177" s="390"/>
    </row>
    <row r="178" spans="1:18" ht="12.75" hidden="1" outlineLevel="4">
      <c r="A178" s="385" t="s">
        <v>575</v>
      </c>
      <c r="B178" s="386" t="s">
        <v>765</v>
      </c>
      <c r="C178" s="387">
        <v>92755.53125</v>
      </c>
      <c r="D178" s="387">
        <v>92755.53125</v>
      </c>
      <c r="E178" s="387">
        <v>1370.78125</v>
      </c>
      <c r="F178" s="387">
        <v>91385</v>
      </c>
      <c r="G178" s="387">
        <v>92755.78125</v>
      </c>
      <c r="H178" s="387">
        <v>0</v>
      </c>
      <c r="I178" s="387">
        <v>91384.75</v>
      </c>
      <c r="J178" s="387">
        <v>88200</v>
      </c>
      <c r="K178" s="387">
        <v>92755.5341720581</v>
      </c>
      <c r="L178" s="387">
        <v>92755.5341720581</v>
      </c>
      <c r="M178" s="387"/>
      <c r="N178" s="387" t="s">
        <v>739</v>
      </c>
      <c r="O178" s="387" t="s">
        <v>732</v>
      </c>
      <c r="P178" s="387">
        <v>10</v>
      </c>
      <c r="Q178" s="388">
        <v>37190.708333333336</v>
      </c>
      <c r="R178" s="390"/>
    </row>
    <row r="179" spans="1:18" ht="12.75" hidden="1" outlineLevel="4">
      <c r="A179" s="385" t="s">
        <v>576</v>
      </c>
      <c r="B179" s="386" t="s">
        <v>766</v>
      </c>
      <c r="C179" s="387">
        <v>0</v>
      </c>
      <c r="D179" s="387">
        <v>0</v>
      </c>
      <c r="E179" s="387">
        <v>314.720703125</v>
      </c>
      <c r="F179" s="387">
        <v>20981</v>
      </c>
      <c r="G179" s="387">
        <v>21295.720703125</v>
      </c>
      <c r="H179" s="387">
        <v>0</v>
      </c>
      <c r="I179" s="387">
        <v>-314.720703125</v>
      </c>
      <c r="J179" s="387">
        <v>20250</v>
      </c>
      <c r="K179" s="387">
        <v>22286.705911159515</v>
      </c>
      <c r="L179" s="387">
        <v>22286.705911159515</v>
      </c>
      <c r="M179" s="387"/>
      <c r="N179" s="387" t="s">
        <v>739</v>
      </c>
      <c r="O179" s="387" t="s">
        <v>732</v>
      </c>
      <c r="P179" s="387">
        <v>0</v>
      </c>
      <c r="Q179" s="388">
        <v>37922.708333333336</v>
      </c>
      <c r="R179" s="390"/>
    </row>
    <row r="180" spans="1:18" ht="12.75" hidden="1" outlineLevel="4">
      <c r="A180" s="385" t="s">
        <v>577</v>
      </c>
      <c r="B180" s="386" t="s">
        <v>767</v>
      </c>
      <c r="C180" s="387">
        <v>25239.6015625</v>
      </c>
      <c r="D180" s="387">
        <v>0</v>
      </c>
      <c r="E180" s="387">
        <v>167.80960083007812</v>
      </c>
      <c r="F180" s="387">
        <v>24867</v>
      </c>
      <c r="G180" s="387">
        <v>25034.809600830078</v>
      </c>
      <c r="H180" s="387">
        <v>-25239.6015625</v>
      </c>
      <c r="I180" s="387">
        <v>-167.80960083007812</v>
      </c>
      <c r="J180" s="387">
        <v>24000</v>
      </c>
      <c r="K180" s="387">
        <v>25239.601135253906</v>
      </c>
      <c r="L180" s="387">
        <v>25239.601135253906</v>
      </c>
      <c r="M180" s="387"/>
      <c r="N180" s="387" t="s">
        <v>739</v>
      </c>
      <c r="O180" s="387" t="s">
        <v>732</v>
      </c>
      <c r="P180" s="387">
        <v>0</v>
      </c>
      <c r="Q180" s="388">
        <v>37190.708333333336</v>
      </c>
      <c r="R180" s="390"/>
    </row>
    <row r="181" spans="1:18" ht="12.75" hidden="1" outlineLevel="4">
      <c r="A181" s="385" t="s">
        <v>578</v>
      </c>
      <c r="B181" s="386" t="s">
        <v>579</v>
      </c>
      <c r="C181" s="387">
        <v>1682.64013671875</v>
      </c>
      <c r="D181" s="387">
        <v>0</v>
      </c>
      <c r="E181" s="387">
        <v>0</v>
      </c>
      <c r="F181" s="387">
        <v>1658</v>
      </c>
      <c r="G181" s="387">
        <v>1658</v>
      </c>
      <c r="H181" s="387">
        <v>-1682.64013671875</v>
      </c>
      <c r="I181" s="387">
        <v>0</v>
      </c>
      <c r="J181" s="387">
        <v>1600</v>
      </c>
      <c r="K181" s="387">
        <v>1682.6400756835938</v>
      </c>
      <c r="L181" s="387">
        <v>1682.6400756835938</v>
      </c>
      <c r="M181" s="387"/>
      <c r="N181" s="387" t="s">
        <v>739</v>
      </c>
      <c r="O181" s="387" t="s">
        <v>732</v>
      </c>
      <c r="P181" s="387">
        <v>0</v>
      </c>
      <c r="Q181" s="388">
        <v>37218.708333333336</v>
      </c>
      <c r="R181" s="390"/>
    </row>
    <row r="182" spans="1:18" ht="12.75" outlineLevel="2">
      <c r="A182" s="375" t="s">
        <v>1686</v>
      </c>
      <c r="B182" s="376" t="s">
        <v>1775</v>
      </c>
      <c r="C182" s="377">
        <f>0+C183+C187+C188+C193+C198+C199+C206</f>
        <v>0</v>
      </c>
      <c r="D182" s="377">
        <f>0+D183+D187+D188+D193+D198+D199+D206</f>
        <v>0</v>
      </c>
      <c r="E182" s="377">
        <f>0+E183+E187+E188+E193+E198+E199+E206</f>
        <v>0</v>
      </c>
      <c r="F182" s="377">
        <f>0+F183+F187+F188+F193+F198+F199+F206</f>
        <v>309564</v>
      </c>
      <c r="G182" s="377">
        <f>F182+E182</f>
        <v>309564</v>
      </c>
      <c r="H182" s="377">
        <f>D182-C182</f>
        <v>0</v>
      </c>
      <c r="I182" s="377">
        <f>D182-E182</f>
        <v>0</v>
      </c>
      <c r="J182" s="377">
        <f>+J183+J187+J188+J193+J198+J199+J206</f>
        <v>424686</v>
      </c>
      <c r="K182" s="377">
        <f>+K183+K187+K188+K193+K198+K199+K206</f>
        <v>456000.1204061508</v>
      </c>
      <c r="L182" s="377">
        <f>+L183+L187+L188+L193+L198+L199+L206</f>
        <v>456000.1204061508</v>
      </c>
      <c r="M182" s="377">
        <f>K182-L182</f>
        <v>0</v>
      </c>
      <c r="N182" s="377" t="s">
        <v>768</v>
      </c>
      <c r="O182" s="377" t="s">
        <v>732</v>
      </c>
      <c r="P182" s="377">
        <v>33</v>
      </c>
      <c r="Q182" s="378">
        <v>38077.708333333336</v>
      </c>
      <c r="R182" s="379"/>
    </row>
    <row r="183" spans="1:18" ht="12.75" outlineLevel="3" collapsed="1">
      <c r="A183" s="380" t="s">
        <v>1687</v>
      </c>
      <c r="B183" s="381" t="s">
        <v>1730</v>
      </c>
      <c r="C183" s="382">
        <f>0+C184+C185+C186</f>
        <v>0</v>
      </c>
      <c r="D183" s="382">
        <f>0+D184+D185+D186</f>
        <v>0</v>
      </c>
      <c r="E183" s="382">
        <f>0+E184+E185+E186</f>
        <v>0</v>
      </c>
      <c r="F183" s="382">
        <f>0+F184+F185+F186</f>
        <v>303254</v>
      </c>
      <c r="G183" s="382">
        <f>F183+E183</f>
        <v>303254</v>
      </c>
      <c r="H183" s="382">
        <f>D183-C183</f>
        <v>0</v>
      </c>
      <c r="I183" s="382">
        <f>D183-E183</f>
        <v>0</v>
      </c>
      <c r="J183" s="382">
        <f>+J184+J185+J186</f>
        <v>234382</v>
      </c>
      <c r="K183" s="382">
        <f>+K184+K185+K186</f>
        <v>251664.10058498383</v>
      </c>
      <c r="L183" s="382">
        <f>+L184+L185+L186</f>
        <v>251664.10058498383</v>
      </c>
      <c r="M183" s="382">
        <f>K183-L183</f>
        <v>0</v>
      </c>
      <c r="N183" s="382" t="s">
        <v>768</v>
      </c>
      <c r="O183" s="382" t="s">
        <v>732</v>
      </c>
      <c r="P183" s="382">
        <v>29</v>
      </c>
      <c r="Q183" s="383">
        <v>37854.458333333336</v>
      </c>
      <c r="R183" s="384"/>
    </row>
    <row r="184" spans="1:18" ht="12.75" hidden="1" outlineLevel="4">
      <c r="A184" s="385" t="s">
        <v>1688</v>
      </c>
      <c r="B184" s="386" t="s">
        <v>1732</v>
      </c>
      <c r="C184" s="387">
        <v>0</v>
      </c>
      <c r="D184" s="387">
        <v>0</v>
      </c>
      <c r="E184" s="387">
        <v>0</v>
      </c>
      <c r="F184" s="387">
        <v>303254</v>
      </c>
      <c r="G184" s="387">
        <v>303254</v>
      </c>
      <c r="H184" s="387">
        <v>0</v>
      </c>
      <c r="I184" s="387">
        <v>0</v>
      </c>
      <c r="J184" s="387">
        <v>231232</v>
      </c>
      <c r="K184" s="387">
        <v>248281.8360900879</v>
      </c>
      <c r="L184" s="387">
        <v>248281.8360900879</v>
      </c>
      <c r="M184" s="387"/>
      <c r="N184" s="387" t="s">
        <v>736</v>
      </c>
      <c r="O184" s="387" t="s">
        <v>732</v>
      </c>
      <c r="P184" s="387">
        <v>0</v>
      </c>
      <c r="Q184" s="388">
        <v>37812.458333333336</v>
      </c>
      <c r="R184" s="390"/>
    </row>
    <row r="185" spans="1:18" ht="12.75" hidden="1" outlineLevel="4">
      <c r="A185" s="385" t="s">
        <v>1689</v>
      </c>
      <c r="B185" s="386" t="s">
        <v>1734</v>
      </c>
      <c r="C185" s="387">
        <v>0</v>
      </c>
      <c r="D185" s="387">
        <v>0</v>
      </c>
      <c r="E185" s="387">
        <v>0</v>
      </c>
      <c r="F185" s="387">
        <v>0</v>
      </c>
      <c r="G185" s="387">
        <v>0</v>
      </c>
      <c r="H185" s="387">
        <v>0</v>
      </c>
      <c r="I185" s="387">
        <v>0</v>
      </c>
      <c r="J185" s="387">
        <v>0</v>
      </c>
      <c r="K185" s="387">
        <v>0</v>
      </c>
      <c r="L185" s="387">
        <v>0</v>
      </c>
      <c r="M185" s="387"/>
      <c r="N185" s="387" t="s">
        <v>736</v>
      </c>
      <c r="O185" s="387" t="s">
        <v>732</v>
      </c>
      <c r="P185" s="387">
        <v>0</v>
      </c>
      <c r="Q185" s="388">
        <v>37840.458333333336</v>
      </c>
      <c r="R185" s="390"/>
    </row>
    <row r="186" spans="1:18" ht="12.75" hidden="1" outlineLevel="4">
      <c r="A186" s="385" t="s">
        <v>1690</v>
      </c>
      <c r="B186" s="386" t="s">
        <v>1691</v>
      </c>
      <c r="C186" s="387">
        <v>0</v>
      </c>
      <c r="D186" s="387">
        <v>0</v>
      </c>
      <c r="E186" s="387">
        <v>0</v>
      </c>
      <c r="F186" s="387">
        <v>0</v>
      </c>
      <c r="G186" s="387">
        <v>0</v>
      </c>
      <c r="H186" s="387">
        <v>0</v>
      </c>
      <c r="I186" s="387">
        <v>0</v>
      </c>
      <c r="J186" s="387">
        <v>3150</v>
      </c>
      <c r="K186" s="387">
        <v>3382.264494895935</v>
      </c>
      <c r="L186" s="387">
        <v>3382.264494895935</v>
      </c>
      <c r="M186" s="387"/>
      <c r="N186" s="387" t="s">
        <v>736</v>
      </c>
      <c r="O186" s="387" t="s">
        <v>732</v>
      </c>
      <c r="P186" s="387">
        <v>0</v>
      </c>
      <c r="Q186" s="388">
        <v>37854.458333333336</v>
      </c>
      <c r="R186" s="390"/>
    </row>
    <row r="187" spans="1:18" ht="12.75" outlineLevel="3">
      <c r="A187" s="380" t="s">
        <v>580</v>
      </c>
      <c r="B187" s="381" t="s">
        <v>769</v>
      </c>
      <c r="C187" s="382">
        <v>0</v>
      </c>
      <c r="D187" s="382">
        <v>0</v>
      </c>
      <c r="E187" s="382">
        <v>0</v>
      </c>
      <c r="F187" s="382">
        <v>0</v>
      </c>
      <c r="G187" s="382"/>
      <c r="H187" s="382"/>
      <c r="I187" s="382"/>
      <c r="J187" s="382"/>
      <c r="K187" s="382"/>
      <c r="L187" s="382"/>
      <c r="M187" s="382">
        <f>K187-L187</f>
        <v>0</v>
      </c>
      <c r="N187" s="382" t="s">
        <v>737</v>
      </c>
      <c r="O187" s="382" t="s">
        <v>732</v>
      </c>
      <c r="P187" s="382">
        <v>100</v>
      </c>
      <c r="Q187" s="383">
        <v>35823.708333333336</v>
      </c>
      <c r="R187" s="384"/>
    </row>
    <row r="188" spans="1:18" ht="12.75" outlineLevel="3" collapsed="1">
      <c r="A188" s="380" t="s">
        <v>1692</v>
      </c>
      <c r="B188" s="381" t="s">
        <v>1739</v>
      </c>
      <c r="C188" s="382">
        <f>0+C189+C190+C191+C192</f>
        <v>0</v>
      </c>
      <c r="D188" s="382">
        <f>0+D189+D190+D191+D192</f>
        <v>0</v>
      </c>
      <c r="E188" s="382">
        <f>0+E189+E190+E191+E192</f>
        <v>0</v>
      </c>
      <c r="F188" s="382">
        <f>0+F189+F190+F191+F192</f>
        <v>0</v>
      </c>
      <c r="G188" s="382">
        <f>F188+E188</f>
        <v>0</v>
      </c>
      <c r="H188" s="382">
        <f>D188-C188</f>
        <v>0</v>
      </c>
      <c r="I188" s="382">
        <f>D188-E188</f>
        <v>0</v>
      </c>
      <c r="J188" s="382">
        <f>+J189+J190+J191+J192</f>
        <v>62000</v>
      </c>
      <c r="K188" s="382">
        <f>+K189+K190+K191+K192</f>
        <v>66571.55513763428</v>
      </c>
      <c r="L188" s="382">
        <f>+L189+L190+L191+L192</f>
        <v>66571.55513763428</v>
      </c>
      <c r="M188" s="382">
        <f>K188-L188</f>
        <v>0</v>
      </c>
      <c r="N188" s="382" t="s">
        <v>770</v>
      </c>
      <c r="O188" s="382" t="s">
        <v>732</v>
      </c>
      <c r="P188" s="382">
        <v>0</v>
      </c>
      <c r="Q188" s="383">
        <v>37762.5</v>
      </c>
      <c r="R188" s="384"/>
    </row>
    <row r="189" spans="1:18" ht="12.75" hidden="1" outlineLevel="4">
      <c r="A189" s="385" t="s">
        <v>1693</v>
      </c>
      <c r="B189" s="386" t="s">
        <v>1741</v>
      </c>
      <c r="C189" s="387">
        <v>0</v>
      </c>
      <c r="D189" s="387">
        <v>0</v>
      </c>
      <c r="E189" s="387">
        <v>0</v>
      </c>
      <c r="F189" s="387">
        <v>0</v>
      </c>
      <c r="G189" s="387">
        <v>0</v>
      </c>
      <c r="H189" s="387">
        <v>0</v>
      </c>
      <c r="I189" s="387">
        <v>0</v>
      </c>
      <c r="J189" s="387">
        <v>62000</v>
      </c>
      <c r="K189" s="387">
        <v>66571.55513763428</v>
      </c>
      <c r="L189" s="387">
        <v>66571.55513763428</v>
      </c>
      <c r="M189" s="387"/>
      <c r="N189" s="387" t="s">
        <v>737</v>
      </c>
      <c r="O189" s="387" t="s">
        <v>732</v>
      </c>
      <c r="P189" s="387">
        <v>0</v>
      </c>
      <c r="Q189" s="388">
        <v>37720.5</v>
      </c>
      <c r="R189" s="390"/>
    </row>
    <row r="190" spans="1:18" ht="12.75" hidden="1" outlineLevel="4">
      <c r="A190" s="385" t="s">
        <v>1694</v>
      </c>
      <c r="B190" s="386" t="s">
        <v>1743</v>
      </c>
      <c r="C190" s="387">
        <v>0</v>
      </c>
      <c r="D190" s="387">
        <v>0</v>
      </c>
      <c r="E190" s="387">
        <v>0</v>
      </c>
      <c r="F190" s="387">
        <v>0</v>
      </c>
      <c r="G190" s="387">
        <v>0</v>
      </c>
      <c r="H190" s="387">
        <v>0</v>
      </c>
      <c r="I190" s="387">
        <v>0</v>
      </c>
      <c r="J190" s="387">
        <v>0</v>
      </c>
      <c r="K190" s="387">
        <v>0</v>
      </c>
      <c r="L190" s="387">
        <v>0</v>
      </c>
      <c r="M190" s="387"/>
      <c r="N190" s="387" t="s">
        <v>737</v>
      </c>
      <c r="O190" s="387" t="s">
        <v>732</v>
      </c>
      <c r="P190" s="387">
        <v>0</v>
      </c>
      <c r="Q190" s="388">
        <v>37748.5</v>
      </c>
      <c r="R190" s="390"/>
    </row>
    <row r="191" spans="1:18" ht="12.75" hidden="1" outlineLevel="4">
      <c r="A191" s="385" t="s">
        <v>1695</v>
      </c>
      <c r="B191" s="386" t="s">
        <v>1696</v>
      </c>
      <c r="C191" s="387">
        <v>0</v>
      </c>
      <c r="D191" s="387">
        <v>0</v>
      </c>
      <c r="E191" s="387">
        <v>0</v>
      </c>
      <c r="F191" s="387">
        <v>0</v>
      </c>
      <c r="G191" s="387">
        <v>0</v>
      </c>
      <c r="H191" s="387">
        <v>0</v>
      </c>
      <c r="I191" s="387">
        <v>0</v>
      </c>
      <c r="J191" s="387">
        <v>0</v>
      </c>
      <c r="K191" s="387">
        <v>0</v>
      </c>
      <c r="L191" s="387">
        <v>0</v>
      </c>
      <c r="M191" s="387"/>
      <c r="N191" s="387" t="s">
        <v>737</v>
      </c>
      <c r="O191" s="387" t="s">
        <v>732</v>
      </c>
      <c r="P191" s="387">
        <v>0</v>
      </c>
      <c r="Q191" s="388">
        <v>37762.5</v>
      </c>
      <c r="R191" s="390"/>
    </row>
    <row r="192" spans="1:18" ht="12.75" hidden="1" outlineLevel="4">
      <c r="A192" s="385" t="s">
        <v>1697</v>
      </c>
      <c r="B192" s="386" t="s">
        <v>1795</v>
      </c>
      <c r="C192" s="387">
        <v>0</v>
      </c>
      <c r="D192" s="387">
        <v>0</v>
      </c>
      <c r="E192" s="387">
        <v>0</v>
      </c>
      <c r="F192" s="387">
        <v>0</v>
      </c>
      <c r="G192" s="387">
        <v>0</v>
      </c>
      <c r="H192" s="387">
        <v>0</v>
      </c>
      <c r="I192" s="387">
        <v>0</v>
      </c>
      <c r="J192" s="387">
        <v>0</v>
      </c>
      <c r="K192" s="387">
        <v>0</v>
      </c>
      <c r="L192" s="387">
        <v>0</v>
      </c>
      <c r="M192" s="387"/>
      <c r="N192" s="387" t="s">
        <v>736</v>
      </c>
      <c r="O192" s="387" t="s">
        <v>732</v>
      </c>
      <c r="P192" s="387">
        <v>0</v>
      </c>
      <c r="Q192" s="388">
        <v>37729.708333333336</v>
      </c>
      <c r="R192" s="390"/>
    </row>
    <row r="193" spans="1:18" ht="12.75" outlineLevel="3" collapsed="1">
      <c r="A193" s="380" t="s">
        <v>1698</v>
      </c>
      <c r="B193" s="381" t="s">
        <v>1522</v>
      </c>
      <c r="C193" s="382">
        <f>0+C194+C195+C196+C197</f>
        <v>0</v>
      </c>
      <c r="D193" s="382">
        <f>0+D194+D195+D196+D197</f>
        <v>0</v>
      </c>
      <c r="E193" s="382">
        <f>0+E194+E195+E196+E197</f>
        <v>0</v>
      </c>
      <c r="F193" s="382">
        <f>0+F194+F195+F196+F197</f>
        <v>0</v>
      </c>
      <c r="G193" s="382">
        <f>F193+E193</f>
        <v>0</v>
      </c>
      <c r="H193" s="382">
        <f>D193-C193</f>
        <v>0</v>
      </c>
      <c r="I193" s="382">
        <f>D193-E193</f>
        <v>0</v>
      </c>
      <c r="J193" s="382">
        <f>+J194+J195+J196+J197</f>
        <v>36204</v>
      </c>
      <c r="K193" s="382">
        <f>+K194+K195+K196+K197</f>
        <v>38873.49326133728</v>
      </c>
      <c r="L193" s="382">
        <f>+L194+L195+L196+L197</f>
        <v>38873.49326133728</v>
      </c>
      <c r="M193" s="382">
        <f>K193-L193</f>
        <v>0</v>
      </c>
      <c r="N193" s="382" t="s">
        <v>768</v>
      </c>
      <c r="O193" s="382" t="s">
        <v>732</v>
      </c>
      <c r="P193" s="382">
        <v>0</v>
      </c>
      <c r="Q193" s="383">
        <v>37861.708333333336</v>
      </c>
      <c r="R193" s="384"/>
    </row>
    <row r="194" spans="1:18" ht="12.75" hidden="1" outlineLevel="4">
      <c r="A194" s="385" t="s">
        <v>1699</v>
      </c>
      <c r="B194" s="386" t="s">
        <v>1749</v>
      </c>
      <c r="C194" s="387">
        <v>0</v>
      </c>
      <c r="D194" s="387">
        <v>0</v>
      </c>
      <c r="E194" s="387">
        <v>0</v>
      </c>
      <c r="F194" s="387">
        <v>0</v>
      </c>
      <c r="G194" s="387">
        <v>0</v>
      </c>
      <c r="H194" s="387">
        <v>0</v>
      </c>
      <c r="I194" s="387">
        <v>0</v>
      </c>
      <c r="J194" s="387">
        <v>36204</v>
      </c>
      <c r="K194" s="387">
        <v>38873.49326133728</v>
      </c>
      <c r="L194" s="387">
        <v>38873.49326133728</v>
      </c>
      <c r="M194" s="387"/>
      <c r="N194" s="387" t="s">
        <v>780</v>
      </c>
      <c r="O194" s="387" t="s">
        <v>732</v>
      </c>
      <c r="P194" s="387">
        <v>0</v>
      </c>
      <c r="Q194" s="388">
        <v>37819.708333333336</v>
      </c>
      <c r="R194" s="390"/>
    </row>
    <row r="195" spans="1:18" ht="12.75" hidden="1" outlineLevel="4">
      <c r="A195" s="385" t="s">
        <v>1700</v>
      </c>
      <c r="B195" s="386" t="s">
        <v>1523</v>
      </c>
      <c r="C195" s="387">
        <v>0</v>
      </c>
      <c r="D195" s="387">
        <v>0</v>
      </c>
      <c r="E195" s="387">
        <v>0</v>
      </c>
      <c r="F195" s="387">
        <v>0</v>
      </c>
      <c r="G195" s="387">
        <v>0</v>
      </c>
      <c r="H195" s="387">
        <v>0</v>
      </c>
      <c r="I195" s="387">
        <v>0</v>
      </c>
      <c r="J195" s="387">
        <v>0</v>
      </c>
      <c r="K195" s="387">
        <v>0</v>
      </c>
      <c r="L195" s="387">
        <v>0</v>
      </c>
      <c r="M195" s="387"/>
      <c r="N195" s="387" t="s">
        <v>736</v>
      </c>
      <c r="O195" s="387" t="s">
        <v>732</v>
      </c>
      <c r="P195" s="387">
        <v>0</v>
      </c>
      <c r="Q195" s="388">
        <v>37847.708333333336</v>
      </c>
      <c r="R195" s="390"/>
    </row>
    <row r="196" spans="1:18" ht="12.75" hidden="1" outlineLevel="4">
      <c r="A196" s="385" t="s">
        <v>1701</v>
      </c>
      <c r="B196" s="386" t="s">
        <v>1702</v>
      </c>
      <c r="C196" s="387">
        <v>0</v>
      </c>
      <c r="D196" s="387">
        <v>0</v>
      </c>
      <c r="E196" s="387">
        <v>0</v>
      </c>
      <c r="F196" s="387">
        <v>0</v>
      </c>
      <c r="G196" s="387">
        <v>0</v>
      </c>
      <c r="H196" s="387">
        <v>0</v>
      </c>
      <c r="I196" s="387">
        <v>0</v>
      </c>
      <c r="J196" s="387">
        <v>0</v>
      </c>
      <c r="K196" s="387">
        <v>0</v>
      </c>
      <c r="L196" s="387">
        <v>0</v>
      </c>
      <c r="M196" s="387"/>
      <c r="N196" s="387" t="s">
        <v>736</v>
      </c>
      <c r="O196" s="387" t="s">
        <v>732</v>
      </c>
      <c r="P196" s="387">
        <v>0</v>
      </c>
      <c r="Q196" s="388">
        <v>37861.708333333336</v>
      </c>
      <c r="R196" s="390"/>
    </row>
    <row r="197" spans="1:18" ht="12.75" hidden="1" outlineLevel="4">
      <c r="A197" s="385" t="s">
        <v>581</v>
      </c>
      <c r="B197" s="386" t="s">
        <v>582</v>
      </c>
      <c r="C197" s="387">
        <v>0</v>
      </c>
      <c r="D197" s="387">
        <v>0</v>
      </c>
      <c r="E197" s="387">
        <v>0</v>
      </c>
      <c r="F197" s="387">
        <v>0</v>
      </c>
      <c r="G197" s="387">
        <v>0</v>
      </c>
      <c r="H197" s="387">
        <v>0</v>
      </c>
      <c r="I197" s="387">
        <v>0</v>
      </c>
      <c r="J197" s="387">
        <v>0</v>
      </c>
      <c r="K197" s="387">
        <v>0</v>
      </c>
      <c r="L197" s="387">
        <v>0</v>
      </c>
      <c r="M197" s="387"/>
      <c r="N197" s="387" t="s">
        <v>736</v>
      </c>
      <c r="O197" s="387" t="s">
        <v>732</v>
      </c>
      <c r="P197" s="387">
        <v>0</v>
      </c>
      <c r="Q197" s="388">
        <v>37291.708333333336</v>
      </c>
      <c r="R197" s="390"/>
    </row>
    <row r="198" spans="1:18" ht="12.75" outlineLevel="3">
      <c r="A198" s="401" t="s">
        <v>1703</v>
      </c>
      <c r="B198" s="402" t="s">
        <v>1840</v>
      </c>
      <c r="C198" s="387">
        <v>0</v>
      </c>
      <c r="D198" s="387">
        <v>0</v>
      </c>
      <c r="E198" s="387">
        <v>0</v>
      </c>
      <c r="F198" s="387">
        <v>6310</v>
      </c>
      <c r="G198" s="387">
        <v>6310</v>
      </c>
      <c r="H198" s="387">
        <v>0</v>
      </c>
      <c r="I198" s="387">
        <v>0</v>
      </c>
      <c r="J198" s="387">
        <v>9000</v>
      </c>
      <c r="K198" s="387">
        <v>9663.612842559814</v>
      </c>
      <c r="L198" s="387">
        <v>9663.612842559814</v>
      </c>
      <c r="M198" s="387"/>
      <c r="N198" s="387" t="s">
        <v>736</v>
      </c>
      <c r="O198" s="387" t="s">
        <v>732</v>
      </c>
      <c r="P198" s="387">
        <v>0</v>
      </c>
      <c r="Q198" s="388">
        <v>37915.5</v>
      </c>
      <c r="R198" s="390"/>
    </row>
    <row r="199" spans="1:18" ht="12.75" outlineLevel="3" collapsed="1">
      <c r="A199" s="380" t="s">
        <v>1704</v>
      </c>
      <c r="B199" s="381" t="s">
        <v>1705</v>
      </c>
      <c r="C199" s="382">
        <f>0+C200+C201+C202+C203</f>
        <v>0</v>
      </c>
      <c r="D199" s="382">
        <f>0+D200+D201+D202+D203</f>
        <v>0</v>
      </c>
      <c r="E199" s="382">
        <f>0+E200+E201+E202+E203</f>
        <v>0</v>
      </c>
      <c r="F199" s="382">
        <f>0+F200+F201+F202+F203</f>
        <v>0</v>
      </c>
      <c r="G199" s="382">
        <f>F199+E199</f>
        <v>0</v>
      </c>
      <c r="H199" s="382">
        <f>D199-C199</f>
        <v>0</v>
      </c>
      <c r="I199" s="382">
        <f>D199-E199</f>
        <v>0</v>
      </c>
      <c r="J199" s="382">
        <f>+J200+J201+J202+J203</f>
        <v>75600</v>
      </c>
      <c r="K199" s="382">
        <f>+K200+K201+K202+K203</f>
        <v>81174.34787750244</v>
      </c>
      <c r="L199" s="382">
        <f>+L200+L201+L202+L203</f>
        <v>81174.34787750244</v>
      </c>
      <c r="M199" s="382">
        <f>K199-L199</f>
        <v>0</v>
      </c>
      <c r="N199" s="382" t="s">
        <v>768</v>
      </c>
      <c r="O199" s="382" t="s">
        <v>732</v>
      </c>
      <c r="P199" s="382">
        <v>7</v>
      </c>
      <c r="Q199" s="383">
        <v>37903.63270833333</v>
      </c>
      <c r="R199" s="384"/>
    </row>
    <row r="200" spans="1:18" ht="12.75" hidden="1" outlineLevel="4">
      <c r="A200" s="385" t="s">
        <v>1706</v>
      </c>
      <c r="B200" s="386" t="s">
        <v>585</v>
      </c>
      <c r="C200" s="387">
        <v>0</v>
      </c>
      <c r="D200" s="387">
        <v>0</v>
      </c>
      <c r="E200" s="387">
        <v>0</v>
      </c>
      <c r="F200" s="387">
        <v>0</v>
      </c>
      <c r="G200" s="387">
        <v>0</v>
      </c>
      <c r="H200" s="387">
        <v>0</v>
      </c>
      <c r="I200" s="387">
        <v>0</v>
      </c>
      <c r="J200" s="387">
        <v>75600</v>
      </c>
      <c r="K200" s="387">
        <v>81174.34787750244</v>
      </c>
      <c r="L200" s="387">
        <v>81174.34787750244</v>
      </c>
      <c r="M200" s="387"/>
      <c r="N200" s="387" t="s">
        <v>736</v>
      </c>
      <c r="O200" s="387" t="s">
        <v>732</v>
      </c>
      <c r="P200" s="387">
        <v>0</v>
      </c>
      <c r="Q200" s="388">
        <v>37861.63270833333</v>
      </c>
      <c r="R200" s="390"/>
    </row>
    <row r="201" spans="1:18" ht="12.75" hidden="1" outlineLevel="4">
      <c r="A201" s="385" t="s">
        <v>1707</v>
      </c>
      <c r="B201" s="386" t="s">
        <v>1708</v>
      </c>
      <c r="C201" s="387">
        <v>0</v>
      </c>
      <c r="D201" s="387">
        <v>0</v>
      </c>
      <c r="E201" s="387">
        <v>0</v>
      </c>
      <c r="F201" s="387">
        <v>0</v>
      </c>
      <c r="G201" s="387">
        <v>0</v>
      </c>
      <c r="H201" s="387">
        <v>0</v>
      </c>
      <c r="I201" s="387">
        <v>0</v>
      </c>
      <c r="J201" s="387">
        <v>0</v>
      </c>
      <c r="K201" s="387">
        <v>0</v>
      </c>
      <c r="L201" s="387">
        <v>0</v>
      </c>
      <c r="M201" s="387"/>
      <c r="N201" s="387" t="s">
        <v>736</v>
      </c>
      <c r="O201" s="387" t="s">
        <v>732</v>
      </c>
      <c r="P201" s="387">
        <v>0</v>
      </c>
      <c r="Q201" s="388">
        <v>37889.63270833333</v>
      </c>
      <c r="R201" s="390"/>
    </row>
    <row r="202" spans="1:18" ht="12.75" hidden="1" outlineLevel="4">
      <c r="A202" s="385" t="s">
        <v>1709</v>
      </c>
      <c r="B202" s="386" t="s">
        <v>1710</v>
      </c>
      <c r="C202" s="387">
        <v>0</v>
      </c>
      <c r="D202" s="387">
        <v>0</v>
      </c>
      <c r="E202" s="387">
        <v>0</v>
      </c>
      <c r="F202" s="387">
        <v>0</v>
      </c>
      <c r="G202" s="387">
        <v>0</v>
      </c>
      <c r="H202" s="387">
        <v>0</v>
      </c>
      <c r="I202" s="387">
        <v>0</v>
      </c>
      <c r="J202" s="387">
        <v>0</v>
      </c>
      <c r="K202" s="387">
        <v>0</v>
      </c>
      <c r="L202" s="387">
        <v>0</v>
      </c>
      <c r="M202" s="387"/>
      <c r="N202" s="387" t="s">
        <v>736</v>
      </c>
      <c r="O202" s="387" t="s">
        <v>732</v>
      </c>
      <c r="P202" s="387">
        <v>0</v>
      </c>
      <c r="Q202" s="388">
        <v>37903.63270833333</v>
      </c>
      <c r="R202" s="390"/>
    </row>
    <row r="203" spans="1:18" ht="12.75" outlineLevel="3" collapsed="1">
      <c r="A203" s="391" t="s">
        <v>1711</v>
      </c>
      <c r="B203" s="392" t="s">
        <v>1757</v>
      </c>
      <c r="C203" s="382">
        <f>0+C204+C205</f>
        <v>0</v>
      </c>
      <c r="D203" s="382">
        <f>0+D204+D205</f>
        <v>0</v>
      </c>
      <c r="E203" s="382">
        <f>0+E204+E205</f>
        <v>0</v>
      </c>
      <c r="F203" s="382">
        <f>0+F204+F205</f>
        <v>0</v>
      </c>
      <c r="G203" s="382">
        <f>F203+E203</f>
        <v>0</v>
      </c>
      <c r="H203" s="382">
        <f>D203-C203</f>
        <v>0</v>
      </c>
      <c r="I203" s="382">
        <f>D203-E203</f>
        <v>0</v>
      </c>
      <c r="J203" s="382">
        <f>+J204+J205</f>
        <v>0</v>
      </c>
      <c r="K203" s="382">
        <f>+K204+K205</f>
        <v>0</v>
      </c>
      <c r="L203" s="382">
        <f>+L204+L205</f>
        <v>0</v>
      </c>
      <c r="M203" s="382">
        <f>K203-L203</f>
        <v>0</v>
      </c>
      <c r="N203" s="382" t="s">
        <v>768</v>
      </c>
      <c r="O203" s="382" t="s">
        <v>732</v>
      </c>
      <c r="P203" s="382">
        <v>0</v>
      </c>
      <c r="Q203" s="383">
        <v>37813.708333333336</v>
      </c>
      <c r="R203" s="384"/>
    </row>
    <row r="204" spans="1:18" ht="12.75" hidden="1" outlineLevel="4">
      <c r="A204" s="393" t="s">
        <v>1712</v>
      </c>
      <c r="B204" s="394" t="s">
        <v>1759</v>
      </c>
      <c r="C204" s="387">
        <v>0</v>
      </c>
      <c r="D204" s="387">
        <v>0</v>
      </c>
      <c r="E204" s="387">
        <v>0</v>
      </c>
      <c r="F204" s="387">
        <v>0</v>
      </c>
      <c r="G204" s="387">
        <v>0</v>
      </c>
      <c r="H204" s="387">
        <v>0</v>
      </c>
      <c r="I204" s="387">
        <v>0</v>
      </c>
      <c r="J204" s="387">
        <v>0</v>
      </c>
      <c r="K204" s="387">
        <v>0</v>
      </c>
      <c r="L204" s="387">
        <v>0</v>
      </c>
      <c r="M204" s="387"/>
      <c r="N204" s="387" t="s">
        <v>736</v>
      </c>
      <c r="O204" s="387" t="s">
        <v>732</v>
      </c>
      <c r="P204" s="387">
        <v>0</v>
      </c>
      <c r="Q204" s="388">
        <v>37799.708333333336</v>
      </c>
      <c r="R204" s="390"/>
    </row>
    <row r="205" spans="1:18" ht="12.75" hidden="1" outlineLevel="4">
      <c r="A205" s="393" t="s">
        <v>1713</v>
      </c>
      <c r="B205" s="394" t="s">
        <v>1719</v>
      </c>
      <c r="C205" s="387">
        <v>0</v>
      </c>
      <c r="D205" s="387">
        <v>0</v>
      </c>
      <c r="E205" s="387">
        <v>0</v>
      </c>
      <c r="F205" s="387">
        <v>0</v>
      </c>
      <c r="G205" s="387">
        <v>0</v>
      </c>
      <c r="H205" s="387">
        <v>0</v>
      </c>
      <c r="I205" s="387">
        <v>0</v>
      </c>
      <c r="J205" s="387">
        <v>0</v>
      </c>
      <c r="K205" s="387">
        <v>0</v>
      </c>
      <c r="L205" s="387">
        <v>0</v>
      </c>
      <c r="M205" s="387"/>
      <c r="N205" s="387" t="s">
        <v>736</v>
      </c>
      <c r="O205" s="387" t="s">
        <v>732</v>
      </c>
      <c r="P205" s="387">
        <v>0</v>
      </c>
      <c r="Q205" s="388">
        <v>37813.708333333336</v>
      </c>
      <c r="R205" s="390"/>
    </row>
    <row r="206" spans="1:18" ht="12.75" outlineLevel="3" collapsed="1">
      <c r="A206" s="380" t="s">
        <v>586</v>
      </c>
      <c r="B206" s="381" t="s">
        <v>782</v>
      </c>
      <c r="C206" s="382">
        <f>0+C207</f>
        <v>0</v>
      </c>
      <c r="D206" s="382">
        <f>0+D207</f>
        <v>0</v>
      </c>
      <c r="E206" s="382">
        <f>0+E207</f>
        <v>0</v>
      </c>
      <c r="F206" s="382">
        <f>0+F207</f>
        <v>0</v>
      </c>
      <c r="G206" s="382">
        <f>F206+E206</f>
        <v>0</v>
      </c>
      <c r="H206" s="382">
        <f>D206-C206</f>
        <v>0</v>
      </c>
      <c r="I206" s="382">
        <f>D206-E206</f>
        <v>0</v>
      </c>
      <c r="J206" s="382">
        <f>+J207</f>
        <v>7500</v>
      </c>
      <c r="K206" s="382">
        <f>+K207</f>
        <v>8053.010702133179</v>
      </c>
      <c r="L206" s="382">
        <f>+L207</f>
        <v>8053.010702133179</v>
      </c>
      <c r="M206" s="382">
        <f>K206-L206</f>
        <v>0</v>
      </c>
      <c r="N206" s="382" t="s">
        <v>770</v>
      </c>
      <c r="O206" s="382" t="s">
        <v>732</v>
      </c>
      <c r="P206" s="382">
        <v>51</v>
      </c>
      <c r="Q206" s="383">
        <v>38077.708333333336</v>
      </c>
      <c r="R206" s="384"/>
    </row>
    <row r="207" spans="1:18" ht="12.75" hidden="1" outlineLevel="4">
      <c r="A207" s="391" t="s">
        <v>1720</v>
      </c>
      <c r="B207" s="392" t="s">
        <v>1586</v>
      </c>
      <c r="C207" s="382">
        <f>0+C208+C209+C210+C211</f>
        <v>0</v>
      </c>
      <c r="D207" s="382">
        <f>0+D208+D209+D210+D211</f>
        <v>0</v>
      </c>
      <c r="E207" s="382">
        <f>0+E208+E209+E210+E211</f>
        <v>0</v>
      </c>
      <c r="F207" s="382">
        <f>0+F208+F209+F210+F211</f>
        <v>0</v>
      </c>
      <c r="G207" s="382">
        <f>F207+E207</f>
        <v>0</v>
      </c>
      <c r="H207" s="382">
        <f>D207-C207</f>
        <v>0</v>
      </c>
      <c r="I207" s="382">
        <f>D207-E207</f>
        <v>0</v>
      </c>
      <c r="J207" s="382">
        <f>+J208+J209+J210+J211</f>
        <v>7500</v>
      </c>
      <c r="K207" s="382">
        <f>+K208+K209+K210+K211</f>
        <v>8053.010702133179</v>
      </c>
      <c r="L207" s="382">
        <f>+L208+L209+L210+L211</f>
        <v>8053.010702133179</v>
      </c>
      <c r="M207" s="382">
        <f>K207-L207</f>
        <v>0</v>
      </c>
      <c r="N207" s="382" t="s">
        <v>1003</v>
      </c>
      <c r="O207" s="382" t="s">
        <v>732</v>
      </c>
      <c r="P207" s="382">
        <v>0</v>
      </c>
      <c r="Q207" s="383">
        <v>38077.708333333336</v>
      </c>
      <c r="R207" s="384"/>
    </row>
    <row r="208" spans="1:18" ht="12.75" hidden="1" outlineLevel="5">
      <c r="A208" s="393" t="s">
        <v>1721</v>
      </c>
      <c r="B208" s="394" t="s">
        <v>1525</v>
      </c>
      <c r="C208" s="387">
        <v>0</v>
      </c>
      <c r="D208" s="387">
        <v>0</v>
      </c>
      <c r="E208" s="387">
        <v>0</v>
      </c>
      <c r="F208" s="387">
        <v>0</v>
      </c>
      <c r="G208" s="387">
        <v>0</v>
      </c>
      <c r="H208" s="387">
        <v>0</v>
      </c>
      <c r="I208" s="387">
        <v>0</v>
      </c>
      <c r="J208" s="387">
        <v>7500</v>
      </c>
      <c r="K208" s="387">
        <v>8053.010702133179</v>
      </c>
      <c r="L208" s="387">
        <v>8053.010702133179</v>
      </c>
      <c r="M208" s="387"/>
      <c r="N208" s="387" t="s">
        <v>740</v>
      </c>
      <c r="O208" s="387" t="s">
        <v>732</v>
      </c>
      <c r="P208" s="387">
        <v>0</v>
      </c>
      <c r="Q208" s="388">
        <v>38007.708333333336</v>
      </c>
      <c r="R208" s="390"/>
    </row>
    <row r="209" spans="1:18" ht="12.75" hidden="1" outlineLevel="5">
      <c r="A209" s="393" t="s">
        <v>1722</v>
      </c>
      <c r="B209" s="394" t="s">
        <v>1588</v>
      </c>
      <c r="C209" s="387">
        <v>0</v>
      </c>
      <c r="D209" s="387">
        <v>0</v>
      </c>
      <c r="E209" s="387">
        <v>0</v>
      </c>
      <c r="F209" s="387">
        <v>0</v>
      </c>
      <c r="G209" s="387">
        <v>0</v>
      </c>
      <c r="H209" s="387">
        <v>0</v>
      </c>
      <c r="I209" s="387">
        <v>0</v>
      </c>
      <c r="J209" s="387">
        <v>0</v>
      </c>
      <c r="K209" s="387">
        <v>0</v>
      </c>
      <c r="L209" s="387">
        <v>0</v>
      </c>
      <c r="M209" s="387"/>
      <c r="N209" s="387" t="s">
        <v>740</v>
      </c>
      <c r="O209" s="387" t="s">
        <v>732</v>
      </c>
      <c r="P209" s="387">
        <v>0</v>
      </c>
      <c r="Q209" s="388">
        <v>38063.708333333336</v>
      </c>
      <c r="R209" s="390"/>
    </row>
    <row r="210" spans="1:18" ht="12.75" hidden="1" outlineLevel="5">
      <c r="A210" s="393" t="s">
        <v>1723</v>
      </c>
      <c r="B210" s="394" t="s">
        <v>1589</v>
      </c>
      <c r="C210" s="387">
        <v>0</v>
      </c>
      <c r="D210" s="387">
        <v>0</v>
      </c>
      <c r="E210" s="387">
        <v>0</v>
      </c>
      <c r="F210" s="387">
        <v>0</v>
      </c>
      <c r="G210" s="387">
        <v>0</v>
      </c>
      <c r="H210" s="387">
        <v>0</v>
      </c>
      <c r="I210" s="387">
        <v>0</v>
      </c>
      <c r="J210" s="387">
        <v>0</v>
      </c>
      <c r="K210" s="387">
        <v>0</v>
      </c>
      <c r="L210" s="387">
        <v>0</v>
      </c>
      <c r="M210" s="387"/>
      <c r="N210" s="387" t="s">
        <v>740</v>
      </c>
      <c r="O210" s="387" t="s">
        <v>732</v>
      </c>
      <c r="P210" s="387">
        <v>0</v>
      </c>
      <c r="Q210" s="388">
        <v>38077.708333333336</v>
      </c>
      <c r="R210" s="390"/>
    </row>
    <row r="211" spans="1:18" ht="12.75" hidden="1" outlineLevel="5">
      <c r="A211" s="393" t="s">
        <v>1724</v>
      </c>
      <c r="B211" s="394" t="s">
        <v>1795</v>
      </c>
      <c r="C211" s="387">
        <v>0</v>
      </c>
      <c r="D211" s="387">
        <v>0</v>
      </c>
      <c r="E211" s="387">
        <v>0</v>
      </c>
      <c r="F211" s="387">
        <v>0</v>
      </c>
      <c r="G211" s="387">
        <v>0</v>
      </c>
      <c r="H211" s="387">
        <v>0</v>
      </c>
      <c r="I211" s="387">
        <v>0</v>
      </c>
      <c r="J211" s="387">
        <v>0</v>
      </c>
      <c r="K211" s="387">
        <v>0</v>
      </c>
      <c r="L211" s="387">
        <v>0</v>
      </c>
      <c r="M211" s="387"/>
      <c r="N211" s="387" t="s">
        <v>740</v>
      </c>
      <c r="O211" s="387" t="s">
        <v>732</v>
      </c>
      <c r="P211" s="387">
        <v>0</v>
      </c>
      <c r="Q211" s="388">
        <v>37907.708333333336</v>
      </c>
      <c r="R211" s="390"/>
    </row>
    <row r="212" spans="1:18" ht="12.75" outlineLevel="1" collapsed="1">
      <c r="A212" s="370">
        <v>2.5</v>
      </c>
      <c r="B212" s="371" t="s">
        <v>1524</v>
      </c>
      <c r="C212" s="372" t="e">
        <f>0+#REF!+#REF!+#REF!+#REF!+#REF!+#REF!+C219+#REF!+#REF!+#REF!+#REF!</f>
        <v>#REF!</v>
      </c>
      <c r="D212" s="372" t="e">
        <f>0+#REF!+#REF!+#REF!+#REF!+#REF!+#REF!+D219+#REF!+#REF!+#REF!+#REF!</f>
        <v>#REF!</v>
      </c>
      <c r="E212" s="372" t="e">
        <f>0+#REF!+#REF!+#REF!+#REF!+#REF!+#REF!+E219+#REF!+#REF!+#REF!+#REF!</f>
        <v>#REF!</v>
      </c>
      <c r="F212" s="372" t="e">
        <f>0+#REF!+#REF!+#REF!+#REF!+#REF!+#REF!+F219+#REF!+#REF!+#REF!+#REF!</f>
        <v>#REF!</v>
      </c>
      <c r="G212" s="372" t="e">
        <f>F212+E212</f>
        <v>#REF!</v>
      </c>
      <c r="H212" s="372" t="e">
        <f>D212-C212</f>
        <v>#REF!</v>
      </c>
      <c r="I212" s="372" t="e">
        <f>D212-E212</f>
        <v>#REF!</v>
      </c>
      <c r="J212" s="372" t="e">
        <f>+#REF!+#REF!+#REF!+#REF!+#REF!+#REF!+J219+#REF!+#REF!+#REF!+#REF!</f>
        <v>#REF!</v>
      </c>
      <c r="K212" s="372" t="e">
        <f>+#REF!+#REF!+#REF!+#REF!+#REF!+#REF!+K219+#REF!+#REF!+#REF!+#REF!</f>
        <v>#REF!</v>
      </c>
      <c r="L212" s="372" t="e">
        <f>+#REF!+#REF!+#REF!+#REF!+#REF!+#REF!+L219+#REF!+#REF!+#REF!+#REF!</f>
        <v>#REF!</v>
      </c>
      <c r="M212" s="372" t="e">
        <f>K212-L212</f>
        <v>#REF!</v>
      </c>
      <c r="N212" s="372" t="s">
        <v>587</v>
      </c>
      <c r="O212" s="372" t="s">
        <v>732</v>
      </c>
      <c r="P212" s="372">
        <v>22</v>
      </c>
      <c r="Q212" s="373">
        <v>39030.333333333336</v>
      </c>
      <c r="R212" s="374"/>
    </row>
    <row r="213" spans="1:18" ht="12.75" hidden="1" outlineLevel="4">
      <c r="A213" s="391" t="s">
        <v>523</v>
      </c>
      <c r="B213" s="392" t="s">
        <v>524</v>
      </c>
      <c r="C213" s="382">
        <f>0+C214+C215+C216</f>
        <v>45100</v>
      </c>
      <c r="D213" s="382">
        <f>0+D214+D215+D216</f>
        <v>41000</v>
      </c>
      <c r="E213" s="382">
        <f>0+E214+E215+E216</f>
        <v>0</v>
      </c>
      <c r="F213" s="382">
        <f>0+F214+F215+F216</f>
        <v>4100</v>
      </c>
      <c r="G213" s="382">
        <f>F213+E213</f>
        <v>4100</v>
      </c>
      <c r="H213" s="382">
        <f>D213-C213</f>
        <v>-4100</v>
      </c>
      <c r="I213" s="382">
        <f>D213-E213</f>
        <v>41000</v>
      </c>
      <c r="J213" s="382">
        <f>+J214+J215+J216</f>
        <v>44000</v>
      </c>
      <c r="K213" s="382">
        <f>+K214+K215+K216</f>
        <v>45099.99895095825</v>
      </c>
      <c r="L213" s="382">
        <f>0+L214+L215+L216</f>
        <v>45099.99895095822</v>
      </c>
      <c r="M213" s="382">
        <f>K213-L213</f>
        <v>0</v>
      </c>
      <c r="N213" s="382" t="s">
        <v>743</v>
      </c>
      <c r="O213" s="382" t="s">
        <v>732</v>
      </c>
      <c r="P213" s="382">
        <v>38</v>
      </c>
      <c r="Q213" s="383">
        <v>37162.708333333336</v>
      </c>
      <c r="R213" s="384"/>
    </row>
    <row r="214" spans="1:18" ht="12.75" hidden="1" outlineLevel="5">
      <c r="A214" s="393" t="s">
        <v>525</v>
      </c>
      <c r="B214" s="394" t="s">
        <v>526</v>
      </c>
      <c r="C214" s="387">
        <v>20500</v>
      </c>
      <c r="D214" s="387">
        <v>20500</v>
      </c>
      <c r="E214" s="387">
        <v>0</v>
      </c>
      <c r="F214" s="387">
        <v>0</v>
      </c>
      <c r="G214" s="387">
        <v>0</v>
      </c>
      <c r="H214" s="387">
        <v>0</v>
      </c>
      <c r="I214" s="387">
        <v>20500</v>
      </c>
      <c r="J214" s="387">
        <v>20000</v>
      </c>
      <c r="K214" s="387">
        <v>20499.99952316284</v>
      </c>
      <c r="L214" s="387">
        <v>20499.99952316284</v>
      </c>
      <c r="M214" s="387"/>
      <c r="N214" s="387" t="s">
        <v>739</v>
      </c>
      <c r="O214" s="387" t="s">
        <v>732</v>
      </c>
      <c r="P214" s="387">
        <v>75</v>
      </c>
      <c r="Q214" s="388">
        <v>37162.708333333336</v>
      </c>
      <c r="R214" s="390"/>
    </row>
    <row r="215" spans="1:18" ht="12.75" hidden="1" outlineLevel="5">
      <c r="A215" s="393" t="s">
        <v>527</v>
      </c>
      <c r="B215" s="394" t="s">
        <v>528</v>
      </c>
      <c r="C215" s="387">
        <v>2050</v>
      </c>
      <c r="D215" s="387">
        <v>0</v>
      </c>
      <c r="E215" s="387">
        <v>0</v>
      </c>
      <c r="F215" s="387">
        <v>2050</v>
      </c>
      <c r="G215" s="387">
        <v>2050</v>
      </c>
      <c r="H215" s="387">
        <v>-2050</v>
      </c>
      <c r="I215" s="387">
        <v>0</v>
      </c>
      <c r="J215" s="387">
        <v>2000</v>
      </c>
      <c r="K215" s="387">
        <v>2049.999952316284</v>
      </c>
      <c r="L215" s="387">
        <v>2049.999952316284</v>
      </c>
      <c r="M215" s="387"/>
      <c r="N215" s="387" t="s">
        <v>588</v>
      </c>
      <c r="O215" s="387" t="s">
        <v>732</v>
      </c>
      <c r="P215" s="387">
        <v>0</v>
      </c>
      <c r="Q215" s="388">
        <v>37162.708333333336</v>
      </c>
      <c r="R215" s="390"/>
    </row>
    <row r="216" spans="1:18" ht="12.75" hidden="1" outlineLevel="5">
      <c r="A216" s="396" t="s">
        <v>529</v>
      </c>
      <c r="B216" s="397" t="s">
        <v>530</v>
      </c>
      <c r="C216" s="382">
        <f>0+C217+C218</f>
        <v>22550</v>
      </c>
      <c r="D216" s="382">
        <f>0+D217+D218</f>
        <v>20500</v>
      </c>
      <c r="E216" s="382">
        <f>0+E217+E218</f>
        <v>0</v>
      </c>
      <c r="F216" s="382">
        <f>0+F217+F218</f>
        <v>2050</v>
      </c>
      <c r="G216" s="382">
        <f>F216+E216</f>
        <v>2050</v>
      </c>
      <c r="H216" s="382">
        <f>D216-C216</f>
        <v>-2050</v>
      </c>
      <c r="I216" s="382">
        <f>D216-E216</f>
        <v>20500</v>
      </c>
      <c r="J216" s="382">
        <f>+J217+J218</f>
        <v>22000</v>
      </c>
      <c r="K216" s="382">
        <f>+K217+K218</f>
        <v>22549.999475479126</v>
      </c>
      <c r="L216" s="382">
        <v>22549.9994754791</v>
      </c>
      <c r="M216" s="382">
        <f>K216-L216</f>
        <v>0</v>
      </c>
      <c r="N216" s="382" t="s">
        <v>743</v>
      </c>
      <c r="O216" s="382" t="s">
        <v>732</v>
      </c>
      <c r="P216" s="382">
        <v>38</v>
      </c>
      <c r="Q216" s="383">
        <v>37162.708333333336</v>
      </c>
      <c r="R216" s="384"/>
    </row>
    <row r="217" spans="1:18" ht="12.75" hidden="1" outlineLevel="6">
      <c r="A217" s="398" t="s">
        <v>531</v>
      </c>
      <c r="B217" s="399" t="s">
        <v>532</v>
      </c>
      <c r="C217" s="387">
        <v>20500</v>
      </c>
      <c r="D217" s="387">
        <v>20500</v>
      </c>
      <c r="E217" s="387">
        <v>0</v>
      </c>
      <c r="F217" s="387">
        <v>0</v>
      </c>
      <c r="G217" s="387">
        <v>0</v>
      </c>
      <c r="H217" s="387">
        <v>0</v>
      </c>
      <c r="I217" s="387">
        <v>20500</v>
      </c>
      <c r="J217" s="387">
        <v>20000</v>
      </c>
      <c r="K217" s="387">
        <v>20499.99952316284</v>
      </c>
      <c r="L217" s="387"/>
      <c r="M217" s="387"/>
      <c r="N217" s="387" t="s">
        <v>739</v>
      </c>
      <c r="O217" s="387" t="s">
        <v>732</v>
      </c>
      <c r="P217" s="387">
        <v>75</v>
      </c>
      <c r="Q217" s="388">
        <v>37162.708333333336</v>
      </c>
      <c r="R217" s="390"/>
    </row>
    <row r="218" spans="1:18" ht="12.75" hidden="1" outlineLevel="6">
      <c r="A218" s="398" t="s">
        <v>533</v>
      </c>
      <c r="B218" s="399" t="s">
        <v>534</v>
      </c>
      <c r="C218" s="387">
        <v>2050</v>
      </c>
      <c r="D218" s="387">
        <v>0</v>
      </c>
      <c r="E218" s="387">
        <v>0</v>
      </c>
      <c r="F218" s="387">
        <v>2050</v>
      </c>
      <c r="G218" s="387">
        <v>2050</v>
      </c>
      <c r="H218" s="387">
        <v>-2050</v>
      </c>
      <c r="I218" s="387">
        <v>0</v>
      </c>
      <c r="J218" s="387">
        <v>2000</v>
      </c>
      <c r="K218" s="387">
        <v>2049.999952316284</v>
      </c>
      <c r="L218" s="387"/>
      <c r="M218" s="387"/>
      <c r="N218" s="387" t="s">
        <v>588</v>
      </c>
      <c r="O218" s="387" t="s">
        <v>732</v>
      </c>
      <c r="P218" s="387">
        <v>0</v>
      </c>
      <c r="Q218" s="388">
        <v>37162.708333333336</v>
      </c>
      <c r="R218" s="390"/>
    </row>
    <row r="219" spans="1:18" ht="12.75" outlineLevel="2">
      <c r="A219" s="375" t="s">
        <v>1650</v>
      </c>
      <c r="B219" s="376" t="s">
        <v>1775</v>
      </c>
      <c r="C219" s="377">
        <f>0+C220+C224+C225+C230+C234+C235+C239+C242</f>
        <v>45641.61328125</v>
      </c>
      <c r="D219" s="377">
        <f>0+D220+D224+D225+D230+D234+D235+D239+D242</f>
        <v>0</v>
      </c>
      <c r="E219" s="377">
        <f>0+E220+E224+E225+E230+E234+E235+E239+E242</f>
        <v>137838.765625</v>
      </c>
      <c r="F219" s="377">
        <f>0+F220+F224+F225+F230+F234+F235+F239+F242</f>
        <v>102865.23</v>
      </c>
      <c r="G219" s="377">
        <f>F219+E219</f>
        <v>240703.99562499998</v>
      </c>
      <c r="H219" s="377">
        <f>D219-C219</f>
        <v>-45641.61328125</v>
      </c>
      <c r="I219" s="377">
        <f>D219-E219</f>
        <v>-137838.765625</v>
      </c>
      <c r="J219" s="377">
        <f>+J220+J224+J225+J230+J234+J235+J239+J242</f>
        <v>237005</v>
      </c>
      <c r="K219" s="377">
        <f>+K220+K224+K225+K230+K234+K235+K239+K242</f>
        <v>253522.03031778336</v>
      </c>
      <c r="L219" s="377">
        <f>+L220+L224+L225+L230+L234+L235+L239+L242</f>
        <v>253522.03031778336</v>
      </c>
      <c r="M219" s="377">
        <f>K219-L219</f>
        <v>0</v>
      </c>
      <c r="N219" s="377" t="s">
        <v>768</v>
      </c>
      <c r="O219" s="377" t="s">
        <v>732</v>
      </c>
      <c r="P219" s="377">
        <v>9</v>
      </c>
      <c r="Q219" s="378">
        <v>38028.708333333336</v>
      </c>
      <c r="R219" s="379"/>
    </row>
    <row r="220" spans="1:18" ht="12.75" outlineLevel="3" collapsed="1">
      <c r="A220" s="380" t="s">
        <v>1651</v>
      </c>
      <c r="B220" s="381" t="s">
        <v>1730</v>
      </c>
      <c r="C220" s="382">
        <f>0+C221+C222+C223</f>
        <v>0</v>
      </c>
      <c r="D220" s="382">
        <f>0+D221+D222+D223</f>
        <v>0</v>
      </c>
      <c r="E220" s="382">
        <f>0+E221+E222+E223</f>
        <v>137838.765625</v>
      </c>
      <c r="F220" s="382">
        <f>0+F221+F222+F223</f>
        <v>99710.23</v>
      </c>
      <c r="G220" s="382">
        <f>F220+E220</f>
        <v>237548.99562499998</v>
      </c>
      <c r="H220" s="382">
        <f>D220-C220</f>
        <v>0</v>
      </c>
      <c r="I220" s="382">
        <f>D220-E220</f>
        <v>-137838.765625</v>
      </c>
      <c r="J220" s="382">
        <f>+J221+J222+J223</f>
        <v>145152</v>
      </c>
      <c r="K220" s="382">
        <f>+K221+K222+K223</f>
        <v>155854.7479248047</v>
      </c>
      <c r="L220" s="382">
        <f>+L221+L222+L223</f>
        <v>155854.7479248047</v>
      </c>
      <c r="M220" s="382">
        <f>K220-L220</f>
        <v>0</v>
      </c>
      <c r="N220" s="382" t="s">
        <v>768</v>
      </c>
      <c r="O220" s="382" t="s">
        <v>732</v>
      </c>
      <c r="P220" s="382">
        <v>6</v>
      </c>
      <c r="Q220" s="383">
        <v>37854.63590277778</v>
      </c>
      <c r="R220" s="384"/>
    </row>
    <row r="221" spans="1:18" ht="12.75" hidden="1" outlineLevel="4">
      <c r="A221" s="385" t="s">
        <v>1652</v>
      </c>
      <c r="B221" s="386" t="s">
        <v>1732</v>
      </c>
      <c r="C221" s="387">
        <v>0</v>
      </c>
      <c r="D221" s="387">
        <v>0</v>
      </c>
      <c r="E221" s="387">
        <v>137838.765625</v>
      </c>
      <c r="F221" s="387">
        <v>99710.23</v>
      </c>
      <c r="G221" s="387">
        <v>237548.99562499998</v>
      </c>
      <c r="H221" s="387">
        <v>0</v>
      </c>
      <c r="I221" s="387">
        <v>-137838.765625</v>
      </c>
      <c r="J221" s="387">
        <v>142002</v>
      </c>
      <c r="K221" s="387">
        <v>152472.48342990875</v>
      </c>
      <c r="L221" s="387">
        <v>152472.48342990875</v>
      </c>
      <c r="M221" s="387"/>
      <c r="N221" s="387" t="s">
        <v>736</v>
      </c>
      <c r="O221" s="387" t="s">
        <v>732</v>
      </c>
      <c r="P221" s="387">
        <v>0</v>
      </c>
      <c r="Q221" s="388">
        <v>37812.63590277778</v>
      </c>
      <c r="R221" s="390"/>
    </row>
    <row r="222" spans="1:18" ht="12.75" hidden="1" outlineLevel="4">
      <c r="A222" s="385" t="s">
        <v>1653</v>
      </c>
      <c r="B222" s="386" t="s">
        <v>1734</v>
      </c>
      <c r="C222" s="387">
        <v>0</v>
      </c>
      <c r="D222" s="387">
        <v>0</v>
      </c>
      <c r="E222" s="387">
        <v>0</v>
      </c>
      <c r="F222" s="387">
        <v>0</v>
      </c>
      <c r="G222" s="387">
        <v>0</v>
      </c>
      <c r="H222" s="387">
        <v>0</v>
      </c>
      <c r="I222" s="387">
        <v>0</v>
      </c>
      <c r="J222" s="387">
        <v>0</v>
      </c>
      <c r="K222" s="387">
        <v>0</v>
      </c>
      <c r="L222" s="387">
        <v>0</v>
      </c>
      <c r="M222" s="387"/>
      <c r="N222" s="387" t="s">
        <v>736</v>
      </c>
      <c r="O222" s="387" t="s">
        <v>732</v>
      </c>
      <c r="P222" s="387">
        <v>0</v>
      </c>
      <c r="Q222" s="388">
        <v>37840.63590277778</v>
      </c>
      <c r="R222" s="390"/>
    </row>
    <row r="223" spans="1:18" ht="12.75" hidden="1" outlineLevel="4">
      <c r="A223" s="385" t="s">
        <v>1654</v>
      </c>
      <c r="B223" s="386" t="s">
        <v>1691</v>
      </c>
      <c r="C223" s="387">
        <v>0</v>
      </c>
      <c r="D223" s="387">
        <v>0</v>
      </c>
      <c r="E223" s="387">
        <v>0</v>
      </c>
      <c r="F223" s="387">
        <v>0</v>
      </c>
      <c r="G223" s="387">
        <v>0</v>
      </c>
      <c r="H223" s="387">
        <v>0</v>
      </c>
      <c r="I223" s="387">
        <v>0</v>
      </c>
      <c r="J223" s="387">
        <v>3150</v>
      </c>
      <c r="K223" s="387">
        <v>3382.264494895935</v>
      </c>
      <c r="L223" s="387">
        <v>3382.264494895935</v>
      </c>
      <c r="M223" s="387"/>
      <c r="N223" s="387" t="s">
        <v>736</v>
      </c>
      <c r="O223" s="387" t="s">
        <v>732</v>
      </c>
      <c r="P223" s="387">
        <v>0</v>
      </c>
      <c r="Q223" s="388">
        <v>37854.63590277778</v>
      </c>
      <c r="R223" s="390"/>
    </row>
    <row r="224" spans="1:18" ht="12.75" outlineLevel="3">
      <c r="A224" s="380" t="s">
        <v>535</v>
      </c>
      <c r="B224" s="381" t="s">
        <v>769</v>
      </c>
      <c r="C224" s="382">
        <v>0</v>
      </c>
      <c r="D224" s="382">
        <v>0</v>
      </c>
      <c r="E224" s="382">
        <v>0</v>
      </c>
      <c r="F224" s="382">
        <v>0</v>
      </c>
      <c r="G224" s="382"/>
      <c r="H224" s="382"/>
      <c r="I224" s="382"/>
      <c r="J224" s="382"/>
      <c r="K224" s="382"/>
      <c r="L224" s="382"/>
      <c r="M224" s="382">
        <f>K224-L224</f>
        <v>0</v>
      </c>
      <c r="N224" s="382" t="s">
        <v>744</v>
      </c>
      <c r="O224" s="382" t="s">
        <v>732</v>
      </c>
      <c r="P224" s="382">
        <v>100</v>
      </c>
      <c r="Q224" s="383">
        <v>35731.708333333336</v>
      </c>
      <c r="R224" s="384"/>
    </row>
    <row r="225" spans="1:18" ht="12.75" outlineLevel="3" collapsed="1">
      <c r="A225" s="380" t="s">
        <v>1655</v>
      </c>
      <c r="B225" s="381" t="s">
        <v>1739</v>
      </c>
      <c r="C225" s="382">
        <f>0+C226+C227+C228+C229</f>
        <v>45641.61328125</v>
      </c>
      <c r="D225" s="382">
        <f>0+D226+D227+D228+D229</f>
        <v>0</v>
      </c>
      <c r="E225" s="382">
        <f>0+E226+E227+E228+E229</f>
        <v>0</v>
      </c>
      <c r="F225" s="382">
        <f>0+F226+F227+F228+F229</f>
        <v>0</v>
      </c>
      <c r="G225" s="382">
        <f>F225+E225</f>
        <v>0</v>
      </c>
      <c r="H225" s="382">
        <f>D225-C225</f>
        <v>-45641.61328125</v>
      </c>
      <c r="I225" s="382">
        <f>D225-E225</f>
        <v>0</v>
      </c>
      <c r="J225" s="382">
        <f>+J226+J227+J228+J229</f>
        <v>43400</v>
      </c>
      <c r="K225" s="382">
        <f>+K226+K227+K228+K229</f>
        <v>45641.61205291748</v>
      </c>
      <c r="L225" s="382">
        <f>+L226+L227+L228+L229</f>
        <v>45641.61205291748</v>
      </c>
      <c r="M225" s="382">
        <f>K225-L225</f>
        <v>0</v>
      </c>
      <c r="N225" s="382" t="s">
        <v>770</v>
      </c>
      <c r="O225" s="382" t="s">
        <v>732</v>
      </c>
      <c r="P225" s="382">
        <v>0</v>
      </c>
      <c r="Q225" s="383">
        <v>37540.708333333336</v>
      </c>
      <c r="R225" s="384"/>
    </row>
    <row r="226" spans="1:18" ht="12.75" hidden="1" outlineLevel="4">
      <c r="A226" s="385" t="s">
        <v>1656</v>
      </c>
      <c r="B226" s="386" t="s">
        <v>1657</v>
      </c>
      <c r="C226" s="387">
        <v>45641.61328125</v>
      </c>
      <c r="D226" s="387">
        <v>0</v>
      </c>
      <c r="E226" s="387">
        <v>0</v>
      </c>
      <c r="F226" s="387">
        <v>0</v>
      </c>
      <c r="G226" s="387">
        <v>0</v>
      </c>
      <c r="H226" s="387">
        <v>-45641.61328125</v>
      </c>
      <c r="I226" s="387">
        <v>0</v>
      </c>
      <c r="J226" s="387">
        <v>43400</v>
      </c>
      <c r="K226" s="387">
        <v>45641.61205291748</v>
      </c>
      <c r="L226" s="387">
        <v>45641.61205291748</v>
      </c>
      <c r="M226" s="387"/>
      <c r="N226" s="387" t="s">
        <v>737</v>
      </c>
      <c r="O226" s="387" t="s">
        <v>732</v>
      </c>
      <c r="P226" s="387">
        <v>0</v>
      </c>
      <c r="Q226" s="388">
        <v>37484.708333333336</v>
      </c>
      <c r="R226" s="390"/>
    </row>
    <row r="227" spans="1:18" ht="12.75" hidden="1" outlineLevel="4">
      <c r="A227" s="385" t="s">
        <v>1658</v>
      </c>
      <c r="B227" s="386" t="s">
        <v>1743</v>
      </c>
      <c r="C227" s="387">
        <v>0</v>
      </c>
      <c r="D227" s="387">
        <v>0</v>
      </c>
      <c r="E227" s="387">
        <v>0</v>
      </c>
      <c r="F227" s="387">
        <v>0</v>
      </c>
      <c r="G227" s="387">
        <v>0</v>
      </c>
      <c r="H227" s="387">
        <v>0</v>
      </c>
      <c r="I227" s="387">
        <v>0</v>
      </c>
      <c r="J227" s="387">
        <v>0</v>
      </c>
      <c r="K227" s="387">
        <v>0</v>
      </c>
      <c r="L227" s="387">
        <v>0</v>
      </c>
      <c r="M227" s="387"/>
      <c r="N227" s="387" t="s">
        <v>737</v>
      </c>
      <c r="O227" s="387" t="s">
        <v>732</v>
      </c>
      <c r="P227" s="387">
        <v>0</v>
      </c>
      <c r="Q227" s="388">
        <v>37526.708333333336</v>
      </c>
      <c r="R227" s="390"/>
    </row>
    <row r="228" spans="1:18" ht="12.75" hidden="1" outlineLevel="4">
      <c r="A228" s="385" t="s">
        <v>1659</v>
      </c>
      <c r="B228" s="386" t="s">
        <v>1696</v>
      </c>
      <c r="C228" s="387">
        <v>0</v>
      </c>
      <c r="D228" s="387">
        <v>0</v>
      </c>
      <c r="E228" s="387">
        <v>0</v>
      </c>
      <c r="F228" s="387">
        <v>0</v>
      </c>
      <c r="G228" s="387">
        <v>0</v>
      </c>
      <c r="H228" s="387">
        <v>0</v>
      </c>
      <c r="I228" s="387">
        <v>0</v>
      </c>
      <c r="J228" s="387">
        <v>0</v>
      </c>
      <c r="K228" s="387">
        <v>0</v>
      </c>
      <c r="L228" s="387">
        <v>0</v>
      </c>
      <c r="M228" s="387"/>
      <c r="N228" s="387" t="s">
        <v>737</v>
      </c>
      <c r="O228" s="387" t="s">
        <v>732</v>
      </c>
      <c r="P228" s="387">
        <v>0</v>
      </c>
      <c r="Q228" s="388">
        <v>37540.708333333336</v>
      </c>
      <c r="R228" s="390"/>
    </row>
    <row r="229" spans="1:18" ht="12.75" hidden="1" outlineLevel="4">
      <c r="A229" s="385" t="s">
        <v>1660</v>
      </c>
      <c r="B229" s="386" t="s">
        <v>1795</v>
      </c>
      <c r="C229" s="387">
        <v>0</v>
      </c>
      <c r="D229" s="387">
        <v>0</v>
      </c>
      <c r="E229" s="387">
        <v>0</v>
      </c>
      <c r="F229" s="387">
        <v>0</v>
      </c>
      <c r="G229" s="387">
        <v>0</v>
      </c>
      <c r="H229" s="387">
        <v>0</v>
      </c>
      <c r="I229" s="387">
        <v>0</v>
      </c>
      <c r="J229" s="387">
        <v>0</v>
      </c>
      <c r="K229" s="387">
        <v>0</v>
      </c>
      <c r="L229" s="387">
        <v>0</v>
      </c>
      <c r="M229" s="387"/>
      <c r="N229" s="387" t="s">
        <v>737</v>
      </c>
      <c r="O229" s="387" t="s">
        <v>732</v>
      </c>
      <c r="P229" s="387">
        <v>0</v>
      </c>
      <c r="Q229" s="388">
        <v>37484.708333333336</v>
      </c>
      <c r="R229" s="390"/>
    </row>
    <row r="230" spans="1:18" ht="12.75" outlineLevel="3" collapsed="1">
      <c r="A230" s="380" t="s">
        <v>1661</v>
      </c>
      <c r="B230" s="381" t="s">
        <v>1522</v>
      </c>
      <c r="C230" s="382">
        <f>0+C231+C232+C233</f>
        <v>0</v>
      </c>
      <c r="D230" s="382">
        <f>0+D231+D232+D233</f>
        <v>0</v>
      </c>
      <c r="E230" s="382">
        <f>0+E231+E232+E233</f>
        <v>0</v>
      </c>
      <c r="F230" s="382">
        <f>0+F231+F232+F233</f>
        <v>0</v>
      </c>
      <c r="G230" s="382">
        <f>F230+E230</f>
        <v>0</v>
      </c>
      <c r="H230" s="382">
        <f>D230-C230</f>
        <v>0</v>
      </c>
      <c r="I230" s="382">
        <f>D230-E230</f>
        <v>0</v>
      </c>
      <c r="J230" s="382">
        <f>+J231+J232+J233</f>
        <v>27153</v>
      </c>
      <c r="K230" s="382">
        <f>+K231+K232+K233</f>
        <v>29155.11994600296</v>
      </c>
      <c r="L230" s="382">
        <f>+L231+L232+L233</f>
        <v>29155.11994600296</v>
      </c>
      <c r="M230" s="382">
        <f>K230-L230</f>
        <v>0</v>
      </c>
      <c r="N230" s="382" t="s">
        <v>768</v>
      </c>
      <c r="O230" s="382" t="s">
        <v>732</v>
      </c>
      <c r="P230" s="382">
        <v>0</v>
      </c>
      <c r="Q230" s="383">
        <v>37805.708333333336</v>
      </c>
      <c r="R230" s="384"/>
    </row>
    <row r="231" spans="1:18" ht="12.75" hidden="1" outlineLevel="4">
      <c r="A231" s="385" t="s">
        <v>1662</v>
      </c>
      <c r="B231" s="386" t="s">
        <v>1749</v>
      </c>
      <c r="C231" s="387">
        <v>0</v>
      </c>
      <c r="D231" s="387">
        <v>0</v>
      </c>
      <c r="E231" s="387">
        <v>0</v>
      </c>
      <c r="F231" s="387">
        <v>0</v>
      </c>
      <c r="G231" s="387">
        <v>0</v>
      </c>
      <c r="H231" s="387">
        <v>0</v>
      </c>
      <c r="I231" s="387">
        <v>0</v>
      </c>
      <c r="J231" s="387">
        <v>27153</v>
      </c>
      <c r="K231" s="387">
        <v>29155.11994600296</v>
      </c>
      <c r="L231" s="387">
        <v>29155.11994600296</v>
      </c>
      <c r="M231" s="387"/>
      <c r="N231" s="387" t="s">
        <v>780</v>
      </c>
      <c r="O231" s="387" t="s">
        <v>732</v>
      </c>
      <c r="P231" s="387">
        <v>0</v>
      </c>
      <c r="Q231" s="388">
        <v>37763.708333333336</v>
      </c>
      <c r="R231" s="390"/>
    </row>
    <row r="232" spans="1:18" ht="12.75" hidden="1" outlineLevel="4">
      <c r="A232" s="385" t="s">
        <v>1663</v>
      </c>
      <c r="B232" s="386" t="s">
        <v>1523</v>
      </c>
      <c r="C232" s="387">
        <v>0</v>
      </c>
      <c r="D232" s="387">
        <v>0</v>
      </c>
      <c r="E232" s="387">
        <v>0</v>
      </c>
      <c r="F232" s="387">
        <v>0</v>
      </c>
      <c r="G232" s="387">
        <v>0</v>
      </c>
      <c r="H232" s="387">
        <v>0</v>
      </c>
      <c r="I232" s="387">
        <v>0</v>
      </c>
      <c r="J232" s="387">
        <v>0</v>
      </c>
      <c r="K232" s="387">
        <v>0</v>
      </c>
      <c r="L232" s="387">
        <v>0</v>
      </c>
      <c r="M232" s="387"/>
      <c r="N232" s="387" t="s">
        <v>736</v>
      </c>
      <c r="O232" s="387" t="s">
        <v>732</v>
      </c>
      <c r="P232" s="387">
        <v>0</v>
      </c>
      <c r="Q232" s="388">
        <v>37791.708333333336</v>
      </c>
      <c r="R232" s="390"/>
    </row>
    <row r="233" spans="1:18" ht="12.75" hidden="1" outlineLevel="4">
      <c r="A233" s="385" t="s">
        <v>1664</v>
      </c>
      <c r="B233" s="386" t="s">
        <v>1702</v>
      </c>
      <c r="C233" s="387">
        <v>0</v>
      </c>
      <c r="D233" s="387">
        <v>0</v>
      </c>
      <c r="E233" s="387">
        <v>0</v>
      </c>
      <c r="F233" s="387">
        <v>0</v>
      </c>
      <c r="G233" s="387">
        <v>0</v>
      </c>
      <c r="H233" s="387">
        <v>0</v>
      </c>
      <c r="I233" s="387">
        <v>0</v>
      </c>
      <c r="J233" s="387">
        <v>0</v>
      </c>
      <c r="K233" s="387">
        <v>0</v>
      </c>
      <c r="L233" s="387">
        <v>0</v>
      </c>
      <c r="M233" s="387"/>
      <c r="N233" s="387" t="s">
        <v>736</v>
      </c>
      <c r="O233" s="387" t="s">
        <v>732</v>
      </c>
      <c r="P233" s="387">
        <v>0</v>
      </c>
      <c r="Q233" s="388">
        <v>37805.708333333336</v>
      </c>
      <c r="R233" s="390"/>
    </row>
    <row r="234" spans="1:18" ht="12.75" outlineLevel="3">
      <c r="A234" s="401" t="s">
        <v>1665</v>
      </c>
      <c r="B234" s="402" t="s">
        <v>1840</v>
      </c>
      <c r="C234" s="387">
        <v>0</v>
      </c>
      <c r="D234" s="387">
        <v>0</v>
      </c>
      <c r="E234" s="387">
        <v>0</v>
      </c>
      <c r="F234" s="387">
        <v>3155</v>
      </c>
      <c r="G234" s="387">
        <v>3155</v>
      </c>
      <c r="H234" s="387">
        <v>0</v>
      </c>
      <c r="I234" s="387">
        <v>0</v>
      </c>
      <c r="J234" s="387">
        <v>9000</v>
      </c>
      <c r="K234" s="387">
        <v>9663.612842559814</v>
      </c>
      <c r="L234" s="387">
        <v>9663.612842559814</v>
      </c>
      <c r="M234" s="387"/>
      <c r="N234" s="387" t="s">
        <v>736</v>
      </c>
      <c r="O234" s="387" t="s">
        <v>732</v>
      </c>
      <c r="P234" s="387">
        <v>0</v>
      </c>
      <c r="Q234" s="388">
        <v>37791.708333333336</v>
      </c>
      <c r="R234" s="390"/>
    </row>
    <row r="235" spans="1:18" ht="12.75" outlineLevel="3">
      <c r="A235" s="380" t="s">
        <v>1666</v>
      </c>
      <c r="B235" s="381" t="s">
        <v>1674</v>
      </c>
      <c r="C235" s="382">
        <f>0+C236+C237+C238</f>
        <v>0</v>
      </c>
      <c r="D235" s="382">
        <f>0+D236+D237+D238</f>
        <v>0</v>
      </c>
      <c r="E235" s="382">
        <f>0+E236+E237+E238</f>
        <v>0</v>
      </c>
      <c r="F235" s="382">
        <f>0+F236+F237+F238</f>
        <v>0</v>
      </c>
      <c r="G235" s="382">
        <f>F235+E235</f>
        <v>0</v>
      </c>
      <c r="H235" s="382">
        <f>D235-C235</f>
        <v>0</v>
      </c>
      <c r="I235" s="382">
        <f>D235-E235</f>
        <v>0</v>
      </c>
      <c r="J235" s="382">
        <f>+J236+J237+J238</f>
        <v>6300</v>
      </c>
      <c r="K235" s="382">
        <f>+K236+K237+K238</f>
        <v>6764.52898979187</v>
      </c>
      <c r="L235" s="382">
        <f>+L236+L237+L238</f>
        <v>6764.52898979187</v>
      </c>
      <c r="M235" s="382">
        <f>K235-L235</f>
        <v>0</v>
      </c>
      <c r="N235" s="382" t="s">
        <v>768</v>
      </c>
      <c r="O235" s="382" t="s">
        <v>732</v>
      </c>
      <c r="P235" s="382">
        <v>12</v>
      </c>
      <c r="Q235" s="383">
        <v>37872.42590277778</v>
      </c>
      <c r="R235" s="384"/>
    </row>
    <row r="236" spans="1:18" ht="12.75" outlineLevel="4">
      <c r="A236" s="385" t="s">
        <v>1675</v>
      </c>
      <c r="B236" s="386" t="s">
        <v>585</v>
      </c>
      <c r="C236" s="387">
        <v>0</v>
      </c>
      <c r="D236" s="387">
        <v>0</v>
      </c>
      <c r="E236" s="387">
        <v>0</v>
      </c>
      <c r="F236" s="387">
        <v>0</v>
      </c>
      <c r="G236" s="387">
        <v>0</v>
      </c>
      <c r="H236" s="387">
        <v>0</v>
      </c>
      <c r="I236" s="387">
        <v>0</v>
      </c>
      <c r="J236" s="387">
        <v>6300</v>
      </c>
      <c r="K236" s="387">
        <v>6764.52898979187</v>
      </c>
      <c r="L236" s="387">
        <v>6764.52898979187</v>
      </c>
      <c r="M236" s="387"/>
      <c r="N236" s="387" t="s">
        <v>736</v>
      </c>
      <c r="O236" s="387" t="s">
        <v>732</v>
      </c>
      <c r="P236" s="387">
        <v>0</v>
      </c>
      <c r="Q236" s="388">
        <v>37830.42590277778</v>
      </c>
      <c r="R236" s="390"/>
    </row>
    <row r="237" spans="1:18" ht="12.75" outlineLevel="4">
      <c r="A237" s="385" t="s">
        <v>1676</v>
      </c>
      <c r="B237" s="386" t="s">
        <v>1708</v>
      </c>
      <c r="C237" s="387">
        <v>0</v>
      </c>
      <c r="D237" s="387">
        <v>0</v>
      </c>
      <c r="E237" s="387">
        <v>0</v>
      </c>
      <c r="F237" s="387">
        <v>0</v>
      </c>
      <c r="G237" s="387">
        <v>0</v>
      </c>
      <c r="H237" s="387">
        <v>0</v>
      </c>
      <c r="I237" s="387">
        <v>0</v>
      </c>
      <c r="J237" s="387">
        <v>0</v>
      </c>
      <c r="K237" s="387">
        <v>0</v>
      </c>
      <c r="L237" s="387">
        <v>0</v>
      </c>
      <c r="M237" s="387"/>
      <c r="N237" s="387" t="s">
        <v>736</v>
      </c>
      <c r="O237" s="387" t="s">
        <v>732</v>
      </c>
      <c r="P237" s="387">
        <v>0</v>
      </c>
      <c r="Q237" s="388">
        <v>37858.42590277778</v>
      </c>
      <c r="R237" s="390"/>
    </row>
    <row r="238" spans="1:18" ht="12.75" outlineLevel="4">
      <c r="A238" s="385" t="s">
        <v>1677</v>
      </c>
      <c r="B238" s="386" t="s">
        <v>1710</v>
      </c>
      <c r="C238" s="387">
        <v>0</v>
      </c>
      <c r="D238" s="387">
        <v>0</v>
      </c>
      <c r="E238" s="387">
        <v>0</v>
      </c>
      <c r="F238" s="387">
        <v>0</v>
      </c>
      <c r="G238" s="387">
        <v>0</v>
      </c>
      <c r="H238" s="387">
        <v>0</v>
      </c>
      <c r="I238" s="387">
        <v>0</v>
      </c>
      <c r="J238" s="387">
        <v>0</v>
      </c>
      <c r="K238" s="387">
        <v>0</v>
      </c>
      <c r="L238" s="387">
        <v>0</v>
      </c>
      <c r="M238" s="387"/>
      <c r="N238" s="387" t="s">
        <v>736</v>
      </c>
      <c r="O238" s="387" t="s">
        <v>732</v>
      </c>
      <c r="P238" s="387">
        <v>0</v>
      </c>
      <c r="Q238" s="388">
        <v>37872.42590277778</v>
      </c>
      <c r="R238" s="390"/>
    </row>
    <row r="239" spans="1:18" ht="12.75" outlineLevel="3" collapsed="1">
      <c r="A239" s="380" t="s">
        <v>1678</v>
      </c>
      <c r="B239" s="381" t="s">
        <v>1757</v>
      </c>
      <c r="C239" s="382">
        <f>0+C240+C241</f>
        <v>0</v>
      </c>
      <c r="D239" s="382">
        <f>0+D240+D241</f>
        <v>0</v>
      </c>
      <c r="E239" s="382">
        <f>0+E240+E241</f>
        <v>0</v>
      </c>
      <c r="F239" s="382">
        <f>0+F240+F241</f>
        <v>0</v>
      </c>
      <c r="G239" s="382">
        <f>F239+E239</f>
        <v>0</v>
      </c>
      <c r="H239" s="382">
        <f>D239-C239</f>
        <v>0</v>
      </c>
      <c r="I239" s="382">
        <f>D239-E239</f>
        <v>0</v>
      </c>
      <c r="J239" s="382">
        <f>+J240+J241</f>
        <v>0</v>
      </c>
      <c r="K239" s="382">
        <f>+K240+K241</f>
        <v>0</v>
      </c>
      <c r="L239" s="382">
        <f>+L240+L241</f>
        <v>0</v>
      </c>
      <c r="M239" s="382">
        <f>K239-L239</f>
        <v>0</v>
      </c>
      <c r="N239" s="382" t="s">
        <v>768</v>
      </c>
      <c r="O239" s="382" t="s">
        <v>732</v>
      </c>
      <c r="P239" s="382">
        <v>0</v>
      </c>
      <c r="Q239" s="383">
        <v>37813.708333333336</v>
      </c>
      <c r="R239" s="384"/>
    </row>
    <row r="240" spans="1:18" ht="12.75" hidden="1" outlineLevel="4">
      <c r="A240" s="385" t="s">
        <v>1679</v>
      </c>
      <c r="B240" s="386" t="s">
        <v>1759</v>
      </c>
      <c r="C240" s="387">
        <v>0</v>
      </c>
      <c r="D240" s="387">
        <v>0</v>
      </c>
      <c r="E240" s="387">
        <v>0</v>
      </c>
      <c r="F240" s="387">
        <v>0</v>
      </c>
      <c r="G240" s="387">
        <v>0</v>
      </c>
      <c r="H240" s="387">
        <v>0</v>
      </c>
      <c r="I240" s="387">
        <v>0</v>
      </c>
      <c r="J240" s="387">
        <v>0</v>
      </c>
      <c r="K240" s="387">
        <v>0</v>
      </c>
      <c r="L240" s="387">
        <v>0</v>
      </c>
      <c r="M240" s="387"/>
      <c r="N240" s="387" t="s">
        <v>736</v>
      </c>
      <c r="O240" s="387" t="s">
        <v>732</v>
      </c>
      <c r="P240" s="387">
        <v>0</v>
      </c>
      <c r="Q240" s="388">
        <v>37799.708333333336</v>
      </c>
      <c r="R240" s="390"/>
    </row>
    <row r="241" spans="1:18" ht="12.75" hidden="1" outlineLevel="4">
      <c r="A241" s="385" t="s">
        <v>1680</v>
      </c>
      <c r="B241" s="386" t="s">
        <v>1719</v>
      </c>
      <c r="C241" s="387">
        <v>0</v>
      </c>
      <c r="D241" s="387">
        <v>0</v>
      </c>
      <c r="E241" s="387">
        <v>0</v>
      </c>
      <c r="F241" s="387">
        <v>0</v>
      </c>
      <c r="G241" s="387">
        <v>0</v>
      </c>
      <c r="H241" s="387">
        <v>0</v>
      </c>
      <c r="I241" s="387">
        <v>0</v>
      </c>
      <c r="J241" s="387">
        <v>0</v>
      </c>
      <c r="K241" s="387">
        <v>0</v>
      </c>
      <c r="L241" s="387">
        <v>0</v>
      </c>
      <c r="M241" s="387"/>
      <c r="N241" s="387" t="s">
        <v>736</v>
      </c>
      <c r="O241" s="387" t="s">
        <v>732</v>
      </c>
      <c r="P241" s="387">
        <v>0</v>
      </c>
      <c r="Q241" s="388">
        <v>37813.708333333336</v>
      </c>
      <c r="R241" s="390"/>
    </row>
    <row r="242" spans="1:18" ht="12.75" outlineLevel="3">
      <c r="A242" s="380" t="s">
        <v>1681</v>
      </c>
      <c r="B242" s="381" t="s">
        <v>1586</v>
      </c>
      <c r="C242" s="382">
        <f>0+C243+C244+C245+C246</f>
        <v>0</v>
      </c>
      <c r="D242" s="382">
        <f>0+D243+D244+D245+D246</f>
        <v>0</v>
      </c>
      <c r="E242" s="382">
        <f>0+E243+E244+E245+E246</f>
        <v>0</v>
      </c>
      <c r="F242" s="382">
        <f>0+F243+F244+F245+F246</f>
        <v>0</v>
      </c>
      <c r="G242" s="382">
        <f>F242+E242</f>
        <v>0</v>
      </c>
      <c r="H242" s="382">
        <f>D242-C242</f>
        <v>0</v>
      </c>
      <c r="I242" s="382">
        <f>D242-E242</f>
        <v>0</v>
      </c>
      <c r="J242" s="382">
        <f>+J243+J244+J245+J246</f>
        <v>6000</v>
      </c>
      <c r="K242" s="382">
        <f>+K243+K244+K245+K246</f>
        <v>6442.408561706543</v>
      </c>
      <c r="L242" s="382">
        <f>+L243+L244+L245+L246</f>
        <v>6442.408561706543</v>
      </c>
      <c r="M242" s="382">
        <f>K242-L242</f>
        <v>0</v>
      </c>
      <c r="N242" s="382" t="s">
        <v>1003</v>
      </c>
      <c r="O242" s="382" t="s">
        <v>732</v>
      </c>
      <c r="P242" s="382">
        <v>0</v>
      </c>
      <c r="Q242" s="383">
        <v>38028.708333333336</v>
      </c>
      <c r="R242" s="384"/>
    </row>
    <row r="243" spans="1:18" ht="12.75" outlineLevel="4">
      <c r="A243" s="385" t="s">
        <v>1682</v>
      </c>
      <c r="B243" s="386" t="s">
        <v>1525</v>
      </c>
      <c r="C243" s="387">
        <v>0</v>
      </c>
      <c r="D243" s="387">
        <v>0</v>
      </c>
      <c r="E243" s="387">
        <v>0</v>
      </c>
      <c r="F243" s="387">
        <v>0</v>
      </c>
      <c r="G243" s="387">
        <v>0</v>
      </c>
      <c r="H243" s="387">
        <v>0</v>
      </c>
      <c r="I243" s="387">
        <v>0</v>
      </c>
      <c r="J243" s="387">
        <v>6000</v>
      </c>
      <c r="K243" s="387">
        <v>6442.408561706543</v>
      </c>
      <c r="L243" s="387">
        <v>6442.408561706543</v>
      </c>
      <c r="M243" s="387"/>
      <c r="N243" s="387" t="s">
        <v>740</v>
      </c>
      <c r="O243" s="387" t="s">
        <v>732</v>
      </c>
      <c r="P243" s="387">
        <v>0</v>
      </c>
      <c r="Q243" s="388">
        <v>37970.708333333336</v>
      </c>
      <c r="R243" s="390"/>
    </row>
    <row r="244" spans="1:18" ht="12.75" outlineLevel="4">
      <c r="A244" s="385" t="s">
        <v>1683</v>
      </c>
      <c r="B244" s="386" t="s">
        <v>1588</v>
      </c>
      <c r="C244" s="387">
        <v>0</v>
      </c>
      <c r="D244" s="387">
        <v>0</v>
      </c>
      <c r="E244" s="387">
        <v>0</v>
      </c>
      <c r="F244" s="387">
        <v>0</v>
      </c>
      <c r="G244" s="387">
        <v>0</v>
      </c>
      <c r="H244" s="387">
        <v>0</v>
      </c>
      <c r="I244" s="387">
        <v>0</v>
      </c>
      <c r="J244" s="387">
        <v>0</v>
      </c>
      <c r="K244" s="387">
        <v>0</v>
      </c>
      <c r="L244" s="387">
        <v>0</v>
      </c>
      <c r="M244" s="387"/>
      <c r="N244" s="387" t="s">
        <v>740</v>
      </c>
      <c r="O244" s="387" t="s">
        <v>732</v>
      </c>
      <c r="P244" s="387">
        <v>0</v>
      </c>
      <c r="Q244" s="388">
        <v>38014.708333333336</v>
      </c>
      <c r="R244" s="390"/>
    </row>
    <row r="245" spans="1:18" ht="12.75" outlineLevel="4">
      <c r="A245" s="385" t="s">
        <v>1684</v>
      </c>
      <c r="B245" s="386" t="s">
        <v>1589</v>
      </c>
      <c r="C245" s="387">
        <v>0</v>
      </c>
      <c r="D245" s="387">
        <v>0</v>
      </c>
      <c r="E245" s="387">
        <v>0</v>
      </c>
      <c r="F245" s="387">
        <v>0</v>
      </c>
      <c r="G245" s="387">
        <v>0</v>
      </c>
      <c r="H245" s="387">
        <v>0</v>
      </c>
      <c r="I245" s="387">
        <v>0</v>
      </c>
      <c r="J245" s="387">
        <v>0</v>
      </c>
      <c r="K245" s="387">
        <v>0</v>
      </c>
      <c r="L245" s="387">
        <v>0</v>
      </c>
      <c r="M245" s="387"/>
      <c r="N245" s="387" t="s">
        <v>740</v>
      </c>
      <c r="O245" s="387" t="s">
        <v>732</v>
      </c>
      <c r="P245" s="387">
        <v>0</v>
      </c>
      <c r="Q245" s="388">
        <v>38028.708333333336</v>
      </c>
      <c r="R245" s="390"/>
    </row>
    <row r="246" spans="1:18" ht="12.75" outlineLevel="4">
      <c r="A246" s="385" t="s">
        <v>1685</v>
      </c>
      <c r="B246" s="386" t="s">
        <v>1795</v>
      </c>
      <c r="C246" s="387">
        <v>0</v>
      </c>
      <c r="D246" s="387">
        <v>0</v>
      </c>
      <c r="E246" s="387">
        <v>0</v>
      </c>
      <c r="F246" s="387">
        <v>0</v>
      </c>
      <c r="G246" s="387">
        <v>0</v>
      </c>
      <c r="H246" s="387">
        <v>0</v>
      </c>
      <c r="I246" s="387">
        <v>0</v>
      </c>
      <c r="J246" s="387">
        <v>0</v>
      </c>
      <c r="K246" s="387">
        <v>0</v>
      </c>
      <c r="L246" s="387">
        <v>0</v>
      </c>
      <c r="M246" s="387"/>
      <c r="N246" s="387" t="s">
        <v>740</v>
      </c>
      <c r="O246" s="387" t="s">
        <v>732</v>
      </c>
      <c r="P246" s="387">
        <v>0</v>
      </c>
      <c r="Q246" s="388">
        <v>37907.708333333336</v>
      </c>
      <c r="R246" s="390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53"/>
  <sheetViews>
    <sheetView workbookViewId="0" topLeftCell="A5">
      <selection activeCell="A259" sqref="A259"/>
    </sheetView>
  </sheetViews>
  <sheetFormatPr defaultColWidth="9.140625" defaultRowHeight="12.75" outlineLevelRow="6" outlineLevelCol="1"/>
  <cols>
    <col min="1" max="1" width="23.28125" style="403" customWidth="1"/>
    <col min="2" max="2" width="45.00390625" style="403" customWidth="1"/>
    <col min="3" max="4" width="10.7109375" style="354" hidden="1" customWidth="1"/>
    <col min="5" max="5" width="10.7109375" style="354" customWidth="1"/>
    <col min="6" max="9" width="10.7109375" style="354" hidden="1" customWidth="1"/>
    <col min="10" max="10" width="10.7109375" style="354" customWidth="1" outlineLevel="1"/>
    <col min="11" max="14" width="10.7109375" style="354" customWidth="1"/>
    <col min="15" max="15" width="5.7109375" style="354" customWidth="1" outlineLevel="1"/>
    <col min="16" max="16" width="7.7109375" style="354" customWidth="1"/>
    <col min="17" max="17" width="9.7109375" style="355" customWidth="1"/>
    <col min="18" max="18" width="8.7109375" style="404" customWidth="1"/>
  </cols>
  <sheetData>
    <row r="1" spans="1:18" ht="15">
      <c r="A1" s="347" t="s">
        <v>713</v>
      </c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51"/>
    </row>
    <row r="2" spans="1:18" ht="12.75">
      <c r="A2" s="352" t="s">
        <v>714</v>
      </c>
      <c r="B2" s="353">
        <v>37522.32876157408</v>
      </c>
      <c r="R2" s="356"/>
    </row>
    <row r="3" spans="1:18" ht="12.75">
      <c r="A3" s="357" t="s">
        <v>554</v>
      </c>
      <c r="B3" s="358"/>
      <c r="R3" s="356"/>
    </row>
    <row r="4" spans="1:18" ht="12.75">
      <c r="A4" s="352" t="s">
        <v>715</v>
      </c>
      <c r="B4" s="358"/>
      <c r="R4" s="356"/>
    </row>
    <row r="5" spans="1:18" ht="24.75" customHeight="1" thickBot="1">
      <c r="A5" s="359" t="s">
        <v>166</v>
      </c>
      <c r="B5" s="360" t="s">
        <v>1569</v>
      </c>
      <c r="C5" s="361" t="s">
        <v>716</v>
      </c>
      <c r="D5" s="361" t="s">
        <v>717</v>
      </c>
      <c r="E5" s="361" t="s">
        <v>718</v>
      </c>
      <c r="F5" s="361" t="s">
        <v>719</v>
      </c>
      <c r="G5" s="361" t="s">
        <v>720</v>
      </c>
      <c r="H5" s="361" t="s">
        <v>721</v>
      </c>
      <c r="I5" s="361" t="s">
        <v>722</v>
      </c>
      <c r="J5" s="361" t="s">
        <v>723</v>
      </c>
      <c r="K5" s="361" t="s">
        <v>724</v>
      </c>
      <c r="L5" s="361" t="s">
        <v>725</v>
      </c>
      <c r="M5" s="362" t="s">
        <v>726</v>
      </c>
      <c r="N5" s="362" t="s">
        <v>727</v>
      </c>
      <c r="O5" s="362" t="s">
        <v>728</v>
      </c>
      <c r="P5" s="362" t="s">
        <v>729</v>
      </c>
      <c r="Q5" s="363" t="s">
        <v>205</v>
      </c>
      <c r="R5" s="364" t="s">
        <v>730</v>
      </c>
    </row>
    <row r="6" spans="1:18" ht="13.5" thickTop="1">
      <c r="A6" s="365">
        <v>2</v>
      </c>
      <c r="B6" s="366" t="s">
        <v>170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 t="s">
        <v>731</v>
      </c>
      <c r="O6" s="367" t="s">
        <v>732</v>
      </c>
      <c r="P6" s="367">
        <v>25</v>
      </c>
      <c r="Q6" s="368">
        <v>38790.708333333336</v>
      </c>
      <c r="R6" s="369"/>
    </row>
    <row r="7" spans="1:18" ht="12.75" outlineLevel="1">
      <c r="A7" s="370">
        <v>2.1</v>
      </c>
      <c r="B7" s="371" t="s">
        <v>172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 t="s">
        <v>731</v>
      </c>
      <c r="O7" s="372" t="s">
        <v>732</v>
      </c>
      <c r="P7" s="372">
        <v>68</v>
      </c>
      <c r="Q7" s="373">
        <v>38686.333333333336</v>
      </c>
      <c r="R7" s="374"/>
    </row>
    <row r="8" spans="1:18" ht="12.75" outlineLevel="2">
      <c r="A8" s="375" t="s">
        <v>745</v>
      </c>
      <c r="B8" s="376" t="s">
        <v>746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 t="s">
        <v>744</v>
      </c>
      <c r="O8" s="377" t="s">
        <v>732</v>
      </c>
      <c r="P8" s="377">
        <v>77</v>
      </c>
      <c r="Q8" s="378">
        <v>38321.333333333336</v>
      </c>
      <c r="R8" s="379"/>
    </row>
    <row r="9" spans="1:18" ht="12.75" outlineLevel="3">
      <c r="A9" s="380" t="s">
        <v>747</v>
      </c>
      <c r="B9" s="381" t="s">
        <v>748</v>
      </c>
      <c r="C9" s="382">
        <f>0+C10+C11+C12+C13</f>
        <v>147231</v>
      </c>
      <c r="D9" s="382">
        <f>0+D10+D11+D12+D13</f>
        <v>36807.75</v>
      </c>
      <c r="E9" s="382">
        <f>0+E10+E11+E12+E13</f>
        <v>0</v>
      </c>
      <c r="F9" s="382">
        <f>0+F10+F11+F12+F13</f>
        <v>21555</v>
      </c>
      <c r="G9" s="382">
        <f>F9+E9</f>
        <v>21555</v>
      </c>
      <c r="H9" s="382">
        <f>D9-C9</f>
        <v>-110423.25</v>
      </c>
      <c r="I9" s="382">
        <f>D9-E9</f>
        <v>36807.75</v>
      </c>
      <c r="J9" s="382">
        <f>+J10+J11+J12+J13</f>
        <v>140000</v>
      </c>
      <c r="K9" s="382">
        <f>+K10+K11+K12+K13</f>
        <v>147231.00662231445</v>
      </c>
      <c r="L9" s="382">
        <f>+L10+L11+L12+L13</f>
        <v>147231.00662231445</v>
      </c>
      <c r="M9" s="382">
        <f>K9-L9</f>
        <v>0</v>
      </c>
      <c r="N9" s="382" t="s">
        <v>1615</v>
      </c>
      <c r="O9" s="382" t="s">
        <v>732</v>
      </c>
      <c r="P9" s="382">
        <v>21</v>
      </c>
      <c r="Q9" s="383">
        <v>37568.708333333336</v>
      </c>
      <c r="R9" s="384"/>
    </row>
    <row r="10" spans="1:18" ht="12.75" outlineLevel="4">
      <c r="A10" s="385" t="s">
        <v>749</v>
      </c>
      <c r="B10" s="386" t="s">
        <v>759</v>
      </c>
      <c r="C10" s="387">
        <v>36807.75</v>
      </c>
      <c r="D10" s="387">
        <v>0</v>
      </c>
      <c r="E10" s="387">
        <v>0</v>
      </c>
      <c r="F10" s="387">
        <v>21555</v>
      </c>
      <c r="G10" s="387">
        <v>21555</v>
      </c>
      <c r="H10" s="387">
        <v>-36807.75</v>
      </c>
      <c r="I10" s="387">
        <v>0</v>
      </c>
      <c r="J10" s="387">
        <v>35000</v>
      </c>
      <c r="K10" s="387">
        <v>36807.75165557861</v>
      </c>
      <c r="L10" s="387">
        <v>36807.75165557861</v>
      </c>
      <c r="M10" s="387"/>
      <c r="N10" s="387" t="s">
        <v>1615</v>
      </c>
      <c r="O10" s="387" t="s">
        <v>732</v>
      </c>
      <c r="P10" s="387">
        <v>80</v>
      </c>
      <c r="Q10" s="388">
        <v>37568.708333333336</v>
      </c>
      <c r="R10" s="390"/>
    </row>
    <row r="11" spans="1:18" ht="12.75" outlineLevel="4">
      <c r="A11" s="385" t="s">
        <v>1428</v>
      </c>
      <c r="B11" s="386" t="s">
        <v>760</v>
      </c>
      <c r="C11" s="387">
        <v>36807.75</v>
      </c>
      <c r="D11" s="387">
        <v>0</v>
      </c>
      <c r="E11" s="387">
        <v>0</v>
      </c>
      <c r="F11" s="387">
        <v>0</v>
      </c>
      <c r="G11" s="387">
        <v>0</v>
      </c>
      <c r="H11" s="387">
        <v>-36807.75</v>
      </c>
      <c r="I11" s="387">
        <v>0</v>
      </c>
      <c r="J11" s="387">
        <v>35000</v>
      </c>
      <c r="K11" s="387">
        <v>36807.75165557861</v>
      </c>
      <c r="L11" s="387">
        <v>36807.75165557861</v>
      </c>
      <c r="M11" s="387"/>
      <c r="N11" s="387" t="s">
        <v>736</v>
      </c>
      <c r="O11" s="387" t="s">
        <v>732</v>
      </c>
      <c r="P11" s="387">
        <v>0</v>
      </c>
      <c r="Q11" s="388">
        <v>37568.708333333336</v>
      </c>
      <c r="R11" s="390"/>
    </row>
    <row r="12" spans="1:18" ht="12.75" outlineLevel="4">
      <c r="A12" s="385" t="s">
        <v>761</v>
      </c>
      <c r="B12" s="386" t="s">
        <v>762</v>
      </c>
      <c r="C12" s="387">
        <v>36807.75</v>
      </c>
      <c r="D12" s="387">
        <v>36807.75</v>
      </c>
      <c r="E12" s="387">
        <v>0</v>
      </c>
      <c r="F12" s="387">
        <v>0</v>
      </c>
      <c r="G12" s="387">
        <v>0</v>
      </c>
      <c r="H12" s="387">
        <v>0</v>
      </c>
      <c r="I12" s="387">
        <v>36807.75</v>
      </c>
      <c r="J12" s="387">
        <v>35000</v>
      </c>
      <c r="K12" s="387">
        <v>36807.75165557861</v>
      </c>
      <c r="L12" s="387">
        <v>36807.75165557861</v>
      </c>
      <c r="M12" s="387"/>
      <c r="N12" s="387" t="s">
        <v>737</v>
      </c>
      <c r="O12" s="387" t="s">
        <v>732</v>
      </c>
      <c r="P12" s="387">
        <v>5</v>
      </c>
      <c r="Q12" s="388">
        <v>37568.708333333336</v>
      </c>
      <c r="R12" s="390"/>
    </row>
    <row r="13" spans="1:18" ht="12.75" outlineLevel="4">
      <c r="A13" s="385" t="s">
        <v>763</v>
      </c>
      <c r="B13" s="386" t="s">
        <v>764</v>
      </c>
      <c r="C13" s="387">
        <v>36807.75</v>
      </c>
      <c r="D13" s="387">
        <v>0</v>
      </c>
      <c r="E13" s="387">
        <v>0</v>
      </c>
      <c r="F13" s="387">
        <v>0</v>
      </c>
      <c r="G13" s="387">
        <v>0</v>
      </c>
      <c r="H13" s="387">
        <v>-36807.75</v>
      </c>
      <c r="I13" s="387">
        <v>0</v>
      </c>
      <c r="J13" s="387">
        <v>35000</v>
      </c>
      <c r="K13" s="387">
        <v>36807.75165557861</v>
      </c>
      <c r="L13" s="387">
        <v>36807.75165557861</v>
      </c>
      <c r="M13" s="387"/>
      <c r="N13" s="387" t="s">
        <v>1615</v>
      </c>
      <c r="O13" s="387" t="s">
        <v>732</v>
      </c>
      <c r="P13" s="387">
        <v>0</v>
      </c>
      <c r="Q13" s="388">
        <v>37568.708333333336</v>
      </c>
      <c r="R13" s="390"/>
    </row>
    <row r="14" spans="1:18" ht="12.75" outlineLevel="2">
      <c r="A14" s="375" t="s">
        <v>1774</v>
      </c>
      <c r="B14" s="376" t="s">
        <v>1775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>
        <f>K14-L14</f>
        <v>0</v>
      </c>
      <c r="N14" s="377" t="s">
        <v>768</v>
      </c>
      <c r="O14" s="377" t="s">
        <v>732</v>
      </c>
      <c r="P14" s="377">
        <v>57</v>
      </c>
      <c r="Q14" s="378">
        <v>38383.333333333336</v>
      </c>
      <c r="R14" s="379"/>
    </row>
    <row r="15" spans="1:18" ht="12.75" outlineLevel="3">
      <c r="A15" s="380" t="s">
        <v>1776</v>
      </c>
      <c r="B15" s="381" t="s">
        <v>1777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>
        <f>K15-L15</f>
        <v>0</v>
      </c>
      <c r="N15" s="382" t="s">
        <v>768</v>
      </c>
      <c r="O15" s="382" t="s">
        <v>732</v>
      </c>
      <c r="P15" s="382">
        <v>77</v>
      </c>
      <c r="Q15" s="383">
        <v>37974.708333333336</v>
      </c>
      <c r="R15" s="384"/>
    </row>
    <row r="16" spans="1:18" ht="12.75" outlineLevel="4">
      <c r="A16" s="391" t="s">
        <v>1571</v>
      </c>
      <c r="B16" s="392" t="s">
        <v>1572</v>
      </c>
      <c r="C16" s="382">
        <f>0+C17+C18+C21+C24+C27</f>
        <v>240549.66943359375</v>
      </c>
      <c r="D16" s="382">
        <f>0+D17+D18+D21+D24+D27</f>
        <v>203733.67236328125</v>
      </c>
      <c r="E16" s="382">
        <f>0+E17+E18+E21+E24+E27</f>
        <v>129346.6171875</v>
      </c>
      <c r="F16" s="382">
        <f>0+F17+F18+F21+F24+F27</f>
        <v>415918.4</v>
      </c>
      <c r="G16" s="382">
        <f>F16+E16</f>
        <v>545265.0171875</v>
      </c>
      <c r="H16" s="382">
        <f>D16-C16</f>
        <v>-36815.9970703125</v>
      </c>
      <c r="I16" s="382">
        <f>D16-E16</f>
        <v>74387.05517578125</v>
      </c>
      <c r="J16" s="382">
        <f>+J17+J18+J21+J24+J27</f>
        <v>660023.2</v>
      </c>
      <c r="K16" s="382">
        <f>+K17+K18+K21+K24+K27</f>
        <v>697840.4189834591</v>
      </c>
      <c r="L16" s="382">
        <f>+L17+L18+L21+L24+L27</f>
        <v>658007.6891025552</v>
      </c>
      <c r="M16" s="382">
        <f>K16-L16</f>
        <v>39832.729880903964</v>
      </c>
      <c r="N16" s="382" t="s">
        <v>768</v>
      </c>
      <c r="O16" s="382" t="s">
        <v>732</v>
      </c>
      <c r="P16" s="382">
        <v>73</v>
      </c>
      <c r="Q16" s="383">
        <v>37974.708333333336</v>
      </c>
      <c r="R16" s="384"/>
    </row>
    <row r="17" spans="1:18" ht="12.75" outlineLevel="5">
      <c r="A17" s="393" t="s">
        <v>187</v>
      </c>
      <c r="B17" s="394" t="s">
        <v>1779</v>
      </c>
      <c r="C17" s="387">
        <v>6957.21630859375</v>
      </c>
      <c r="D17" s="387">
        <v>6957.21630859375</v>
      </c>
      <c r="E17" s="387">
        <v>4219.08984375</v>
      </c>
      <c r="F17" s="387">
        <v>0</v>
      </c>
      <c r="G17" s="387">
        <v>4219.08984375</v>
      </c>
      <c r="H17" s="387">
        <v>0</v>
      </c>
      <c r="I17" s="387">
        <v>2738.12646484375</v>
      </c>
      <c r="J17" s="387">
        <v>6720</v>
      </c>
      <c r="K17" s="387">
        <v>6957.216110229492</v>
      </c>
      <c r="L17" s="387">
        <v>4219.08984375</v>
      </c>
      <c r="M17" s="387">
        <f>K17-L17</f>
        <v>2738.126266479492</v>
      </c>
      <c r="N17" s="387" t="s">
        <v>736</v>
      </c>
      <c r="O17" s="387" t="s">
        <v>732</v>
      </c>
      <c r="P17" s="387">
        <v>100</v>
      </c>
      <c r="Q17" s="388">
        <v>36418.708333333336</v>
      </c>
      <c r="R17" s="389" t="s">
        <v>733</v>
      </c>
    </row>
    <row r="18" spans="1:18" ht="12.75" outlineLevel="5">
      <c r="A18" s="396" t="s">
        <v>188</v>
      </c>
      <c r="B18" s="397" t="s">
        <v>1781</v>
      </c>
      <c r="C18" s="382">
        <f>0+C19+C20</f>
        <v>58884</v>
      </c>
      <c r="D18" s="382">
        <f>0+D19+D20</f>
        <v>58884</v>
      </c>
      <c r="E18" s="382">
        <f>21585.080078125+E19+E20</f>
        <v>21585.080078125</v>
      </c>
      <c r="F18" s="382">
        <f>35010.85+F19+F20</f>
        <v>35010.85</v>
      </c>
      <c r="G18" s="382">
        <f>F18+E18</f>
        <v>56595.930078125</v>
      </c>
      <c r="H18" s="382">
        <f>D18-C18</f>
        <v>0</v>
      </c>
      <c r="I18" s="382">
        <f>D18-E18</f>
        <v>37298.919921875</v>
      </c>
      <c r="J18" s="382">
        <f>+J19+J20</f>
        <v>58884</v>
      </c>
      <c r="K18" s="382">
        <f>+K19+K20</f>
        <v>58884</v>
      </c>
      <c r="L18" s="382">
        <v>21585.080078125</v>
      </c>
      <c r="M18" s="382">
        <f>K18-L18</f>
        <v>37298.919921875</v>
      </c>
      <c r="N18" s="382" t="s">
        <v>768</v>
      </c>
      <c r="O18" s="382" t="s">
        <v>732</v>
      </c>
      <c r="P18" s="382">
        <v>100</v>
      </c>
      <c r="Q18" s="383">
        <v>36756.708333333336</v>
      </c>
      <c r="R18" s="400" t="s">
        <v>733</v>
      </c>
    </row>
    <row r="19" spans="1:18" ht="12.75" outlineLevel="6">
      <c r="A19" s="398" t="s">
        <v>189</v>
      </c>
      <c r="B19" s="399" t="s">
        <v>1782</v>
      </c>
      <c r="C19" s="387">
        <v>40584</v>
      </c>
      <c r="D19" s="387">
        <v>40584</v>
      </c>
      <c r="E19" s="387">
        <v>0</v>
      </c>
      <c r="F19" s="387">
        <v>0</v>
      </c>
      <c r="G19" s="387">
        <v>0</v>
      </c>
      <c r="H19" s="387">
        <v>0</v>
      </c>
      <c r="I19" s="387">
        <v>40584</v>
      </c>
      <c r="J19" s="387">
        <v>40584</v>
      </c>
      <c r="K19" s="387">
        <v>40584</v>
      </c>
      <c r="L19" s="387"/>
      <c r="M19" s="387"/>
      <c r="N19" s="387" t="s">
        <v>736</v>
      </c>
      <c r="O19" s="387" t="s">
        <v>732</v>
      </c>
      <c r="P19" s="387">
        <v>100</v>
      </c>
      <c r="Q19" s="388">
        <v>36756.708333333336</v>
      </c>
      <c r="R19" s="389" t="s">
        <v>733</v>
      </c>
    </row>
    <row r="20" spans="1:18" ht="12.75" outlineLevel="6">
      <c r="A20" s="398" t="s">
        <v>190</v>
      </c>
      <c r="B20" s="399" t="s">
        <v>1783</v>
      </c>
      <c r="C20" s="387">
        <v>18300</v>
      </c>
      <c r="D20" s="387">
        <v>18300</v>
      </c>
      <c r="E20" s="387">
        <v>0</v>
      </c>
      <c r="F20" s="387">
        <v>0</v>
      </c>
      <c r="G20" s="387">
        <v>0</v>
      </c>
      <c r="H20" s="387">
        <v>0</v>
      </c>
      <c r="I20" s="387">
        <v>18300</v>
      </c>
      <c r="J20" s="387">
        <v>18300</v>
      </c>
      <c r="K20" s="387">
        <v>18300</v>
      </c>
      <c r="L20" s="387"/>
      <c r="M20" s="387"/>
      <c r="N20" s="387" t="s">
        <v>736</v>
      </c>
      <c r="O20" s="387" t="s">
        <v>732</v>
      </c>
      <c r="P20" s="387">
        <v>100</v>
      </c>
      <c r="Q20" s="388">
        <v>36700.708333333336</v>
      </c>
      <c r="R20" s="389" t="s">
        <v>733</v>
      </c>
    </row>
    <row r="21" spans="1:18" ht="12.75" outlineLevel="5">
      <c r="A21" s="396" t="s">
        <v>191</v>
      </c>
      <c r="B21" s="397" t="s">
        <v>1784</v>
      </c>
      <c r="C21" s="382">
        <f>0+C22+C23</f>
        <v>101081.171875</v>
      </c>
      <c r="D21" s="382">
        <f>0+D22+D23</f>
        <v>101081.171875</v>
      </c>
      <c r="E21" s="382">
        <f>75473.7265625+E22+E23</f>
        <v>75473.7265625</v>
      </c>
      <c r="F21" s="382">
        <f>25785.27+F22+F23</f>
        <v>25785.27</v>
      </c>
      <c r="G21" s="382">
        <f>F21+E21</f>
        <v>101258.9965625</v>
      </c>
      <c r="H21" s="382">
        <f>D21-C21</f>
        <v>0</v>
      </c>
      <c r="I21" s="382">
        <f>D21-E21</f>
        <v>25607.4453125</v>
      </c>
      <c r="J21" s="382">
        <f>+J22+J23</f>
        <v>98520</v>
      </c>
      <c r="K21" s="382">
        <f>+K22+K23</f>
        <v>101081.17149353027</v>
      </c>
      <c r="L21" s="382">
        <v>100528.062729836</v>
      </c>
      <c r="M21" s="382">
        <f>K21-L21</f>
        <v>553.1087636942684</v>
      </c>
      <c r="N21" s="382" t="s">
        <v>768</v>
      </c>
      <c r="O21" s="382" t="s">
        <v>732</v>
      </c>
      <c r="P21" s="382">
        <v>100</v>
      </c>
      <c r="Q21" s="383">
        <v>37180.708333333336</v>
      </c>
      <c r="R21" s="384"/>
    </row>
    <row r="22" spans="1:18" s="408" customFormat="1" ht="12.75" outlineLevel="6">
      <c r="A22" s="409" t="s">
        <v>192</v>
      </c>
      <c r="B22" s="410" t="s">
        <v>1785</v>
      </c>
      <c r="C22" s="405">
        <v>70331.171875</v>
      </c>
      <c r="D22" s="405">
        <v>70331.171875</v>
      </c>
      <c r="E22" s="405">
        <v>0</v>
      </c>
      <c r="F22" s="405">
        <v>0</v>
      </c>
      <c r="G22" s="405">
        <v>0</v>
      </c>
      <c r="H22" s="405">
        <v>0</v>
      </c>
      <c r="I22" s="405">
        <v>70331.171875</v>
      </c>
      <c r="J22" s="405">
        <v>68520</v>
      </c>
      <c r="K22" s="405">
        <v>70331.17220878601</v>
      </c>
      <c r="L22" s="405"/>
      <c r="M22" s="405"/>
      <c r="N22" s="405" t="s">
        <v>736</v>
      </c>
      <c r="O22" s="405" t="s">
        <v>732</v>
      </c>
      <c r="P22" s="405">
        <v>100</v>
      </c>
      <c r="Q22" s="406">
        <v>37180.708333333336</v>
      </c>
      <c r="R22" s="407"/>
    </row>
    <row r="23" spans="1:18" ht="12.75" outlineLevel="6">
      <c r="A23" s="398" t="s">
        <v>193</v>
      </c>
      <c r="B23" s="399" t="s">
        <v>1786</v>
      </c>
      <c r="C23" s="387">
        <v>30750</v>
      </c>
      <c r="D23" s="387">
        <v>30750</v>
      </c>
      <c r="E23" s="387">
        <v>0</v>
      </c>
      <c r="F23" s="387">
        <v>0</v>
      </c>
      <c r="G23" s="387">
        <v>0</v>
      </c>
      <c r="H23" s="387">
        <v>0</v>
      </c>
      <c r="I23" s="387">
        <v>30750</v>
      </c>
      <c r="J23" s="387">
        <v>30000</v>
      </c>
      <c r="K23" s="387">
        <v>30749.999284744263</v>
      </c>
      <c r="L23" s="387"/>
      <c r="M23" s="387"/>
      <c r="N23" s="387" t="s">
        <v>736</v>
      </c>
      <c r="O23" s="387" t="s">
        <v>732</v>
      </c>
      <c r="P23" s="387">
        <v>100</v>
      </c>
      <c r="Q23" s="388">
        <v>36948.46666666667</v>
      </c>
      <c r="R23" s="389" t="s">
        <v>733</v>
      </c>
    </row>
    <row r="24" spans="1:18" ht="12.75" outlineLevel="5">
      <c r="A24" s="396" t="s">
        <v>194</v>
      </c>
      <c r="B24" s="397" t="s">
        <v>1787</v>
      </c>
      <c r="C24" s="382">
        <f>0+C25+C26</f>
        <v>73627.28125</v>
      </c>
      <c r="D24" s="382">
        <f>0+D25+D26</f>
        <v>36811.2841796875</v>
      </c>
      <c r="E24" s="382">
        <f>28068.720703125+E25+E26</f>
        <v>28068.720703125</v>
      </c>
      <c r="F24" s="382">
        <f>45558.28+F25+F26</f>
        <v>45558.28</v>
      </c>
      <c r="G24" s="382">
        <f>F24+E24</f>
        <v>73627.000703125</v>
      </c>
      <c r="H24" s="382">
        <f>D24-C24</f>
        <v>-36815.9970703125</v>
      </c>
      <c r="I24" s="382">
        <f>D24-E24</f>
        <v>8742.5634765625</v>
      </c>
      <c r="J24" s="382">
        <f>+J25+J26</f>
        <v>70011.2</v>
      </c>
      <c r="K24" s="382">
        <f>+K25+K26</f>
        <v>73627.28179168701</v>
      </c>
      <c r="L24" s="382">
        <v>71781.9927629471</v>
      </c>
      <c r="M24" s="382">
        <f>K24-L24</f>
        <v>1845.289028739906</v>
      </c>
      <c r="N24" s="382" t="s">
        <v>768</v>
      </c>
      <c r="O24" s="382" t="s">
        <v>732</v>
      </c>
      <c r="P24" s="382">
        <v>93</v>
      </c>
      <c r="Q24" s="383">
        <v>37455.708333333336</v>
      </c>
      <c r="R24" s="384"/>
    </row>
    <row r="25" spans="1:18" ht="12.75" outlineLevel="6">
      <c r="A25" s="398" t="s">
        <v>195</v>
      </c>
      <c r="B25" s="399" t="s">
        <v>1788</v>
      </c>
      <c r="C25" s="387">
        <v>52594.28125</v>
      </c>
      <c r="D25" s="387">
        <v>15778.2841796875</v>
      </c>
      <c r="E25" s="387">
        <v>0</v>
      </c>
      <c r="F25" s="387">
        <v>0</v>
      </c>
      <c r="G25" s="387">
        <v>0</v>
      </c>
      <c r="H25" s="387">
        <v>-36815.9970703125</v>
      </c>
      <c r="I25" s="387">
        <v>15778.2841796875</v>
      </c>
      <c r="J25" s="387">
        <v>50011.2</v>
      </c>
      <c r="K25" s="387">
        <v>52594.28084564209</v>
      </c>
      <c r="L25" s="387"/>
      <c r="M25" s="387"/>
      <c r="N25" s="387" t="s">
        <v>736</v>
      </c>
      <c r="O25" s="387" t="s">
        <v>732</v>
      </c>
      <c r="P25" s="387">
        <v>80</v>
      </c>
      <c r="Q25" s="388">
        <v>37455.708333333336</v>
      </c>
      <c r="R25" s="390"/>
    </row>
    <row r="26" spans="1:18" ht="12.75" outlineLevel="6">
      <c r="A26" s="398" t="s">
        <v>196</v>
      </c>
      <c r="B26" s="399" t="s">
        <v>1789</v>
      </c>
      <c r="C26" s="387">
        <v>21033</v>
      </c>
      <c r="D26" s="387">
        <v>21033</v>
      </c>
      <c r="E26" s="387">
        <v>0</v>
      </c>
      <c r="F26" s="387">
        <v>0</v>
      </c>
      <c r="G26" s="387">
        <v>0</v>
      </c>
      <c r="H26" s="387">
        <v>0</v>
      </c>
      <c r="I26" s="387">
        <v>21033</v>
      </c>
      <c r="J26" s="387">
        <v>20000</v>
      </c>
      <c r="K26" s="387">
        <v>21033.000946044922</v>
      </c>
      <c r="L26" s="387"/>
      <c r="M26" s="387"/>
      <c r="N26" s="387" t="s">
        <v>736</v>
      </c>
      <c r="O26" s="387" t="s">
        <v>732</v>
      </c>
      <c r="P26" s="387">
        <v>90</v>
      </c>
      <c r="Q26" s="388">
        <v>37455.708333333336</v>
      </c>
      <c r="R26" s="390"/>
    </row>
    <row r="27" spans="1:18" ht="12.75" outlineLevel="5">
      <c r="A27" s="396" t="s">
        <v>197</v>
      </c>
      <c r="B27" s="397" t="s">
        <v>1573</v>
      </c>
      <c r="C27" s="382">
        <f>0+C28+C29+C30+C31</f>
        <v>0</v>
      </c>
      <c r="D27" s="382">
        <f>0+D28+D29+D30+D31</f>
        <v>0</v>
      </c>
      <c r="E27" s="382">
        <f>0+E28+E29+E30+E31</f>
        <v>0</v>
      </c>
      <c r="F27" s="382">
        <f>309564+F28+F29+F30+F31</f>
        <v>309564</v>
      </c>
      <c r="G27" s="382">
        <f>F27+E27</f>
        <v>309564</v>
      </c>
      <c r="H27" s="382">
        <f>D27-C27</f>
        <v>0</v>
      </c>
      <c r="I27" s="382">
        <f>D27-E27</f>
        <v>0</v>
      </c>
      <c r="J27" s="382">
        <f>+J28+J29+J30+J31</f>
        <v>425888</v>
      </c>
      <c r="K27" s="382">
        <f>+K28+K29+K30+K31</f>
        <v>457290.74958801235</v>
      </c>
      <c r="L27" s="382">
        <v>459893.463687897</v>
      </c>
      <c r="M27" s="382">
        <f>K27-L27</f>
        <v>-2602.7140998846735</v>
      </c>
      <c r="N27" s="382" t="s">
        <v>768</v>
      </c>
      <c r="O27" s="382" t="s">
        <v>732</v>
      </c>
      <c r="P27" s="382">
        <v>0</v>
      </c>
      <c r="Q27" s="383">
        <v>37974.708333333336</v>
      </c>
      <c r="R27" s="384"/>
    </row>
    <row r="28" spans="1:18" ht="12.75" outlineLevel="6">
      <c r="A28" s="398" t="s">
        <v>198</v>
      </c>
      <c r="B28" s="399" t="s">
        <v>1791</v>
      </c>
      <c r="C28" s="387">
        <v>0</v>
      </c>
      <c r="D28" s="387">
        <v>0</v>
      </c>
      <c r="E28" s="387">
        <v>0</v>
      </c>
      <c r="F28" s="387">
        <v>0</v>
      </c>
      <c r="G28" s="387">
        <v>0</v>
      </c>
      <c r="H28" s="387">
        <v>0</v>
      </c>
      <c r="I28" s="387">
        <v>0</v>
      </c>
      <c r="J28" s="387">
        <v>312686</v>
      </c>
      <c r="K28" s="387">
        <v>335741.827254295</v>
      </c>
      <c r="L28" s="387"/>
      <c r="M28" s="387"/>
      <c r="N28" s="387" t="s">
        <v>736</v>
      </c>
      <c r="O28" s="387" t="s">
        <v>732</v>
      </c>
      <c r="P28" s="387">
        <v>0</v>
      </c>
      <c r="Q28" s="388">
        <v>37974.708333333336</v>
      </c>
      <c r="R28" s="390"/>
    </row>
    <row r="29" spans="1:18" ht="12.75" outlineLevel="6">
      <c r="A29" s="398" t="s">
        <v>199</v>
      </c>
      <c r="B29" s="399" t="s">
        <v>1792</v>
      </c>
      <c r="C29" s="387">
        <v>0</v>
      </c>
      <c r="D29" s="387">
        <v>0</v>
      </c>
      <c r="E29" s="387">
        <v>0</v>
      </c>
      <c r="F29" s="387">
        <v>0</v>
      </c>
      <c r="G29" s="387">
        <v>0</v>
      </c>
      <c r="H29" s="387">
        <v>0</v>
      </c>
      <c r="I29" s="387">
        <v>0</v>
      </c>
      <c r="J29" s="387">
        <v>110052</v>
      </c>
      <c r="K29" s="387">
        <v>118166.65783882141</v>
      </c>
      <c r="L29" s="387"/>
      <c r="M29" s="387"/>
      <c r="N29" s="387" t="s">
        <v>736</v>
      </c>
      <c r="O29" s="387" t="s">
        <v>732</v>
      </c>
      <c r="P29" s="387">
        <v>0</v>
      </c>
      <c r="Q29" s="388">
        <v>37764.708333333336</v>
      </c>
      <c r="R29" s="390"/>
    </row>
    <row r="30" spans="1:18" ht="12.75" outlineLevel="6">
      <c r="A30" s="398" t="s">
        <v>200</v>
      </c>
      <c r="B30" s="399" t="s">
        <v>1793</v>
      </c>
      <c r="C30" s="387">
        <v>0</v>
      </c>
      <c r="D30" s="387">
        <v>0</v>
      </c>
      <c r="E30" s="387">
        <v>0</v>
      </c>
      <c r="F30" s="387">
        <v>0</v>
      </c>
      <c r="G30" s="387">
        <v>0</v>
      </c>
      <c r="H30" s="387">
        <v>0</v>
      </c>
      <c r="I30" s="387">
        <v>0</v>
      </c>
      <c r="J30" s="387">
        <v>3150</v>
      </c>
      <c r="K30" s="387">
        <v>3382.264494895935</v>
      </c>
      <c r="L30" s="387"/>
      <c r="M30" s="387"/>
      <c r="N30" s="387" t="s">
        <v>736</v>
      </c>
      <c r="O30" s="387" t="s">
        <v>732</v>
      </c>
      <c r="P30" s="387">
        <v>0</v>
      </c>
      <c r="Q30" s="388">
        <v>37778.708333333336</v>
      </c>
      <c r="R30" s="390"/>
    </row>
    <row r="31" spans="1:18" ht="12.75" outlineLevel="6">
      <c r="A31" s="398" t="s">
        <v>201</v>
      </c>
      <c r="B31" s="399" t="s">
        <v>1795</v>
      </c>
      <c r="C31" s="387">
        <v>0</v>
      </c>
      <c r="D31" s="387">
        <v>0</v>
      </c>
      <c r="E31" s="387">
        <v>0</v>
      </c>
      <c r="F31" s="387">
        <v>0</v>
      </c>
      <c r="G31" s="387">
        <v>0</v>
      </c>
      <c r="H31" s="387">
        <v>0</v>
      </c>
      <c r="I31" s="387">
        <v>0</v>
      </c>
      <c r="J31" s="387">
        <v>0</v>
      </c>
      <c r="K31" s="387">
        <v>0</v>
      </c>
      <c r="L31" s="387"/>
      <c r="M31" s="387"/>
      <c r="N31" s="387" t="s">
        <v>736</v>
      </c>
      <c r="O31" s="387" t="s">
        <v>732</v>
      </c>
      <c r="P31" s="387">
        <v>0</v>
      </c>
      <c r="Q31" s="388">
        <v>37652.708333333336</v>
      </c>
      <c r="R31" s="390"/>
    </row>
    <row r="32" spans="1:18" ht="12.75" outlineLevel="3">
      <c r="A32" s="380" t="s">
        <v>1796</v>
      </c>
      <c r="B32" s="381" t="s">
        <v>1797</v>
      </c>
      <c r="C32" s="382">
        <f>0+C33+C38+C39+C42+C45+C48</f>
        <v>357057.123046875</v>
      </c>
      <c r="D32" s="382">
        <f>0+D33+D38+D39+D42+D45+D48</f>
        <v>216737.265625</v>
      </c>
      <c r="E32" s="382">
        <f>0+E33+E38+E39+E42+E45+E48</f>
        <v>127741.8017578125</v>
      </c>
      <c r="F32" s="382">
        <f>0+F33+F38+F39+F42+F45+F48</f>
        <v>56301.61</v>
      </c>
      <c r="G32" s="382">
        <f>F32+E32</f>
        <v>184043.4117578125</v>
      </c>
      <c r="H32" s="382">
        <f>D32-C32</f>
        <v>-140319.857421875</v>
      </c>
      <c r="I32" s="382">
        <f>D32-E32</f>
        <v>88995.4638671875</v>
      </c>
      <c r="J32" s="382">
        <f>+J33+J38+J39+J42+J45+J48</f>
        <v>383539.2</v>
      </c>
      <c r="K32" s="382">
        <f>+K33+K38+K39+K42+K45+K48</f>
        <v>395894.7248497009</v>
      </c>
      <c r="L32" s="382">
        <f>+L33+L38+L39+L42+L45+L48</f>
        <v>371962.0148887634</v>
      </c>
      <c r="M32" s="382">
        <f>K32-L32</f>
        <v>23932.7099609375</v>
      </c>
      <c r="N32" s="382" t="s">
        <v>770</v>
      </c>
      <c r="O32" s="382" t="s">
        <v>732</v>
      </c>
      <c r="P32" s="382">
        <v>94</v>
      </c>
      <c r="Q32" s="383">
        <v>38030.5</v>
      </c>
      <c r="R32" s="384"/>
    </row>
    <row r="33" spans="1:18" ht="12.75" outlineLevel="4">
      <c r="A33" s="391" t="s">
        <v>1798</v>
      </c>
      <c r="B33" s="392" t="s">
        <v>1801</v>
      </c>
      <c r="C33" s="382">
        <f>0+C34+C35+C37</f>
        <v>56412</v>
      </c>
      <c r="D33" s="382">
        <f>0+D34+D35+D37</f>
        <v>56412</v>
      </c>
      <c r="E33" s="382">
        <f>0+E34+E35+E37</f>
        <v>55301.0498046875</v>
      </c>
      <c r="F33" s="382">
        <f>0+F34+F35+F37</f>
        <v>34588.81</v>
      </c>
      <c r="G33" s="382">
        <f>F33+E33</f>
        <v>89889.8598046875</v>
      </c>
      <c r="H33" s="382">
        <f>D33-C33</f>
        <v>0</v>
      </c>
      <c r="I33" s="382">
        <f>D33-E33</f>
        <v>1110.9501953125</v>
      </c>
      <c r="J33" s="382">
        <f>+J34+J35+J37</f>
        <v>56412</v>
      </c>
      <c r="K33" s="382">
        <f>+K34+K35+K37</f>
        <v>56412</v>
      </c>
      <c r="L33" s="382">
        <f>+L34+L35+L37</f>
        <v>55301.0498046875</v>
      </c>
      <c r="M33" s="382">
        <f>K33-L33</f>
        <v>1110.9501953125</v>
      </c>
      <c r="N33" s="382" t="s">
        <v>737</v>
      </c>
      <c r="O33" s="382" t="s">
        <v>732</v>
      </c>
      <c r="P33" s="382">
        <v>100</v>
      </c>
      <c r="Q33" s="383">
        <v>37890.708333333336</v>
      </c>
      <c r="R33" s="384"/>
    </row>
    <row r="34" spans="1:18" ht="12.75" outlineLevel="5">
      <c r="A34" s="393" t="s">
        <v>771</v>
      </c>
      <c r="B34" s="394" t="s">
        <v>772</v>
      </c>
      <c r="C34" s="387">
        <v>0</v>
      </c>
      <c r="D34" s="387">
        <v>0</v>
      </c>
      <c r="E34" s="387">
        <v>5179.5498046875</v>
      </c>
      <c r="F34" s="387">
        <v>0</v>
      </c>
      <c r="G34" s="387">
        <v>5179.5498046875</v>
      </c>
      <c r="H34" s="387">
        <v>0</v>
      </c>
      <c r="I34" s="387">
        <v>-5179.5498046875</v>
      </c>
      <c r="J34" s="387"/>
      <c r="K34" s="387"/>
      <c r="L34" s="387">
        <v>5179.5498046875</v>
      </c>
      <c r="M34" s="387">
        <f>K34-L34</f>
        <v>-5179.5498046875</v>
      </c>
      <c r="N34" s="387" t="s">
        <v>737</v>
      </c>
      <c r="O34" s="387" t="s">
        <v>732</v>
      </c>
      <c r="P34" s="387">
        <v>100</v>
      </c>
      <c r="Q34" s="388">
        <v>36406.708333333336</v>
      </c>
      <c r="R34" s="390" t="s">
        <v>734</v>
      </c>
    </row>
    <row r="35" spans="1:18" ht="12.75" outlineLevel="5">
      <c r="A35" s="396" t="s">
        <v>773</v>
      </c>
      <c r="B35" s="397" t="s">
        <v>774</v>
      </c>
      <c r="C35" s="382">
        <f>0+C36</f>
        <v>56412</v>
      </c>
      <c r="D35" s="382">
        <f>0+D36</f>
        <v>56412</v>
      </c>
      <c r="E35" s="382">
        <f>50121.5+E36</f>
        <v>50121.5</v>
      </c>
      <c r="F35" s="382">
        <f>34588.81+F36</f>
        <v>34588.81</v>
      </c>
      <c r="G35" s="382">
        <f>F35+E35</f>
        <v>84710.31</v>
      </c>
      <c r="H35" s="382">
        <f>D35-C35</f>
        <v>0</v>
      </c>
      <c r="I35" s="382">
        <f>D35-E35</f>
        <v>6290.5</v>
      </c>
      <c r="J35" s="382">
        <f>+J36</f>
        <v>56412</v>
      </c>
      <c r="K35" s="382">
        <f>+K36</f>
        <v>56412</v>
      </c>
      <c r="L35" s="382">
        <v>50121.5</v>
      </c>
      <c r="M35" s="382">
        <f>K35-L35</f>
        <v>6290.5</v>
      </c>
      <c r="N35" s="382" t="s">
        <v>770</v>
      </c>
      <c r="O35" s="382" t="s">
        <v>732</v>
      </c>
      <c r="P35" s="382">
        <v>100</v>
      </c>
      <c r="Q35" s="383">
        <v>36622.708333333336</v>
      </c>
      <c r="R35" s="400" t="s">
        <v>733</v>
      </c>
    </row>
    <row r="36" spans="1:18" s="408" customFormat="1" ht="12.75" outlineLevel="6">
      <c r="A36" s="409" t="s">
        <v>775</v>
      </c>
      <c r="B36" s="410" t="s">
        <v>776</v>
      </c>
      <c r="C36" s="405">
        <v>56412</v>
      </c>
      <c r="D36" s="405">
        <v>56412</v>
      </c>
      <c r="E36" s="405">
        <v>0</v>
      </c>
      <c r="F36" s="405">
        <v>0</v>
      </c>
      <c r="G36" s="405">
        <v>0</v>
      </c>
      <c r="H36" s="405">
        <v>0</v>
      </c>
      <c r="I36" s="405">
        <v>56412</v>
      </c>
      <c r="J36" s="405">
        <v>56412</v>
      </c>
      <c r="K36" s="405">
        <v>56412</v>
      </c>
      <c r="L36" s="405"/>
      <c r="M36" s="405"/>
      <c r="N36" s="405" t="s">
        <v>737</v>
      </c>
      <c r="O36" s="405" t="s">
        <v>732</v>
      </c>
      <c r="P36" s="405">
        <v>100</v>
      </c>
      <c r="Q36" s="406">
        <v>36622.708333333336</v>
      </c>
      <c r="R36" s="407" t="s">
        <v>733</v>
      </c>
    </row>
    <row r="37" spans="1:18" ht="12.75" outlineLevel="5">
      <c r="A37" s="396" t="s">
        <v>777</v>
      </c>
      <c r="B37" s="397" t="s">
        <v>778</v>
      </c>
      <c r="C37" s="382">
        <v>0</v>
      </c>
      <c r="D37" s="382">
        <v>0</v>
      </c>
      <c r="E37" s="382">
        <v>0</v>
      </c>
      <c r="F37" s="382">
        <v>0</v>
      </c>
      <c r="G37" s="382"/>
      <c r="H37" s="382"/>
      <c r="I37" s="382"/>
      <c r="J37" s="382"/>
      <c r="K37" s="382"/>
      <c r="L37" s="382"/>
      <c r="M37" s="382">
        <f>K37-L37</f>
        <v>0</v>
      </c>
      <c r="N37" s="382" t="s">
        <v>770</v>
      </c>
      <c r="O37" s="382" t="s">
        <v>732</v>
      </c>
      <c r="P37" s="382">
        <v>100</v>
      </c>
      <c r="Q37" s="383">
        <v>37890.708333333336</v>
      </c>
      <c r="R37" s="384"/>
    </row>
    <row r="38" spans="1:18" ht="12.75" outlineLevel="4">
      <c r="A38" s="391" t="s">
        <v>1800</v>
      </c>
      <c r="B38" s="392" t="s">
        <v>779</v>
      </c>
      <c r="C38" s="382">
        <v>0</v>
      </c>
      <c r="D38" s="382">
        <v>0</v>
      </c>
      <c r="E38" s="382">
        <v>0</v>
      </c>
      <c r="F38" s="382">
        <v>0</v>
      </c>
      <c r="G38" s="382"/>
      <c r="H38" s="382"/>
      <c r="I38" s="382"/>
      <c r="J38" s="382"/>
      <c r="K38" s="382"/>
      <c r="L38" s="382"/>
      <c r="M38" s="382">
        <f>K38-L38</f>
        <v>0</v>
      </c>
      <c r="N38" s="382" t="s">
        <v>770</v>
      </c>
      <c r="O38" s="382" t="s">
        <v>732</v>
      </c>
      <c r="P38" s="382">
        <v>100</v>
      </c>
      <c r="Q38" s="383">
        <v>35802.708333333336</v>
      </c>
      <c r="R38" s="384"/>
    </row>
    <row r="39" spans="1:18" ht="12.75" outlineLevel="4">
      <c r="A39" s="391" t="s">
        <v>1803</v>
      </c>
      <c r="B39" s="392" t="s">
        <v>1804</v>
      </c>
      <c r="C39" s="382">
        <f>0+C40+C41</f>
        <v>77837.59765625</v>
      </c>
      <c r="D39" s="382">
        <f>0+D40+D41</f>
        <v>77837.59765625</v>
      </c>
      <c r="E39" s="382">
        <f>0+E40+E41</f>
        <v>72440.751953125</v>
      </c>
      <c r="F39" s="382">
        <f>0+F40+F41</f>
        <v>21712.8</v>
      </c>
      <c r="G39" s="382">
        <f>F39+E39</f>
        <v>94153.551953125</v>
      </c>
      <c r="H39" s="382">
        <f>D39-C39</f>
        <v>0</v>
      </c>
      <c r="I39" s="382">
        <f>D39-E39</f>
        <v>5396.845703125</v>
      </c>
      <c r="J39" s="382">
        <f>+J40+J41</f>
        <v>113480</v>
      </c>
      <c r="K39" s="382">
        <f>+K40+K41</f>
        <v>116675.19836425781</v>
      </c>
      <c r="L39" s="382">
        <f>+L40+L41</f>
        <v>93853.43859863281</v>
      </c>
      <c r="M39" s="382">
        <f>K39-L39</f>
        <v>22821.759765625</v>
      </c>
      <c r="N39" s="382" t="s">
        <v>770</v>
      </c>
      <c r="O39" s="382" t="s">
        <v>732</v>
      </c>
      <c r="P39" s="382">
        <v>100</v>
      </c>
      <c r="Q39" s="383">
        <v>38030.5</v>
      </c>
      <c r="R39" s="384"/>
    </row>
    <row r="40" spans="1:18" ht="12.75" outlineLevel="5">
      <c r="A40" s="393" t="s">
        <v>1805</v>
      </c>
      <c r="B40" s="394" t="s">
        <v>1806</v>
      </c>
      <c r="C40" s="387">
        <v>38837.59765625</v>
      </c>
      <c r="D40" s="387">
        <v>38837.59765625</v>
      </c>
      <c r="E40" s="387">
        <v>56262.51171875</v>
      </c>
      <c r="F40" s="387">
        <v>17947.95</v>
      </c>
      <c r="G40" s="387">
        <v>74210.46171875</v>
      </c>
      <c r="H40" s="387">
        <v>0</v>
      </c>
      <c r="I40" s="387">
        <v>-17424.9140625</v>
      </c>
      <c r="J40" s="387">
        <v>74480</v>
      </c>
      <c r="K40" s="387">
        <v>77675.19836425781</v>
      </c>
      <c r="L40" s="387">
        <v>77675.19836425781</v>
      </c>
      <c r="M40" s="387"/>
      <c r="N40" s="387" t="s">
        <v>737</v>
      </c>
      <c r="O40" s="387" t="s">
        <v>732</v>
      </c>
      <c r="P40" s="387">
        <v>100</v>
      </c>
      <c r="Q40" s="388">
        <v>38030.5</v>
      </c>
      <c r="R40" s="390"/>
    </row>
    <row r="41" spans="1:18" ht="12.75" outlineLevel="5">
      <c r="A41" s="393" t="s">
        <v>1809</v>
      </c>
      <c r="B41" s="394" t="s">
        <v>1810</v>
      </c>
      <c r="C41" s="387">
        <v>39000</v>
      </c>
      <c r="D41" s="387">
        <v>39000</v>
      </c>
      <c r="E41" s="387">
        <v>16178.240234375</v>
      </c>
      <c r="F41" s="387">
        <v>3764.85</v>
      </c>
      <c r="G41" s="387">
        <v>19943.090234375</v>
      </c>
      <c r="H41" s="387">
        <v>0</v>
      </c>
      <c r="I41" s="387">
        <v>22821.759765625</v>
      </c>
      <c r="J41" s="387">
        <v>39000</v>
      </c>
      <c r="K41" s="387">
        <v>39000</v>
      </c>
      <c r="L41" s="387">
        <v>16178.240234375</v>
      </c>
      <c r="M41" s="387">
        <f>K41-L41</f>
        <v>22821.759765625</v>
      </c>
      <c r="N41" s="387" t="s">
        <v>737</v>
      </c>
      <c r="O41" s="387" t="s">
        <v>732</v>
      </c>
      <c r="P41" s="387">
        <v>100</v>
      </c>
      <c r="Q41" s="388">
        <v>36573.708333333336</v>
      </c>
      <c r="R41" s="389" t="s">
        <v>733</v>
      </c>
    </row>
    <row r="42" spans="1:18" ht="12.75" outlineLevel="4">
      <c r="A42" s="391" t="s">
        <v>1811</v>
      </c>
      <c r="B42" s="392" t="s">
        <v>1812</v>
      </c>
      <c r="C42" s="382">
        <f>0+C43+C44</f>
        <v>75106.22265625</v>
      </c>
      <c r="D42" s="382">
        <f>0+D43+D44</f>
        <v>61454.66796875</v>
      </c>
      <c r="E42" s="382">
        <f>0+E43+E44</f>
        <v>0</v>
      </c>
      <c r="F42" s="382">
        <f>0+F43+F44</f>
        <v>0</v>
      </c>
      <c r="G42" s="382">
        <f>F42+E42</f>
        <v>0</v>
      </c>
      <c r="H42" s="382">
        <f>D42-C42</f>
        <v>-13651.5546875</v>
      </c>
      <c r="I42" s="382">
        <f>D42-E42</f>
        <v>61454.66796875</v>
      </c>
      <c r="J42" s="382">
        <f>+J43+J44</f>
        <v>73200</v>
      </c>
      <c r="K42" s="382">
        <f>+K43+K44</f>
        <v>75106.2219619751</v>
      </c>
      <c r="L42" s="382">
        <f>+L43+L44</f>
        <v>75106.2219619751</v>
      </c>
      <c r="M42" s="382">
        <f>K42-L42</f>
        <v>0</v>
      </c>
      <c r="N42" s="382" t="s">
        <v>770</v>
      </c>
      <c r="O42" s="382" t="s">
        <v>732</v>
      </c>
      <c r="P42" s="382">
        <v>75</v>
      </c>
      <c r="Q42" s="383">
        <v>37180.708333333336</v>
      </c>
      <c r="R42" s="384"/>
    </row>
    <row r="43" spans="1:18" ht="12.75" outlineLevel="5">
      <c r="A43" s="393" t="s">
        <v>1813</v>
      </c>
      <c r="B43" s="394" t="s">
        <v>1814</v>
      </c>
      <c r="C43" s="387">
        <v>54606.22265625</v>
      </c>
      <c r="D43" s="387">
        <v>40954.66796875</v>
      </c>
      <c r="E43" s="387">
        <v>0</v>
      </c>
      <c r="F43" s="387">
        <v>0</v>
      </c>
      <c r="G43" s="387">
        <v>0</v>
      </c>
      <c r="H43" s="387">
        <v>-13651.5546875</v>
      </c>
      <c r="I43" s="387">
        <v>40954.66796875</v>
      </c>
      <c r="J43" s="387">
        <v>53200</v>
      </c>
      <c r="K43" s="387">
        <v>54606.222438812256</v>
      </c>
      <c r="L43" s="387">
        <v>54606.222438812256</v>
      </c>
      <c r="M43" s="387"/>
      <c r="N43" s="387" t="s">
        <v>737</v>
      </c>
      <c r="O43" s="387" t="s">
        <v>732</v>
      </c>
      <c r="P43" s="387">
        <v>80</v>
      </c>
      <c r="Q43" s="388">
        <v>37180.708333333336</v>
      </c>
      <c r="R43" s="390"/>
    </row>
    <row r="44" spans="1:18" ht="12.75" outlineLevel="5">
      <c r="A44" s="393" t="s">
        <v>1815</v>
      </c>
      <c r="B44" s="394" t="s">
        <v>1816</v>
      </c>
      <c r="C44" s="387">
        <v>20500</v>
      </c>
      <c r="D44" s="387">
        <v>20500</v>
      </c>
      <c r="E44" s="387">
        <v>0</v>
      </c>
      <c r="F44" s="387">
        <v>0</v>
      </c>
      <c r="G44" s="387">
        <v>0</v>
      </c>
      <c r="H44" s="387">
        <v>0</v>
      </c>
      <c r="I44" s="387">
        <v>20500</v>
      </c>
      <c r="J44" s="387">
        <v>20000</v>
      </c>
      <c r="K44" s="387">
        <v>20499.99952316284</v>
      </c>
      <c r="L44" s="387">
        <v>20499.99952316284</v>
      </c>
      <c r="M44" s="387"/>
      <c r="N44" s="387" t="s">
        <v>737</v>
      </c>
      <c r="O44" s="387" t="s">
        <v>732</v>
      </c>
      <c r="P44" s="387">
        <v>60</v>
      </c>
      <c r="Q44" s="388">
        <v>37102.708333333336</v>
      </c>
      <c r="R44" s="390"/>
    </row>
    <row r="45" spans="1:18" ht="12.75" outlineLevel="4">
      <c r="A45" s="391" t="s">
        <v>1817</v>
      </c>
      <c r="B45" s="392" t="s">
        <v>1818</v>
      </c>
      <c r="C45" s="382">
        <f>0+C46+C47</f>
        <v>78523.76171875</v>
      </c>
      <c r="D45" s="382">
        <f>0+D46+D47</f>
        <v>21033</v>
      </c>
      <c r="E45" s="382">
        <f>0+E46+E47</f>
        <v>0</v>
      </c>
      <c r="F45" s="382">
        <f>0+F46+F47</f>
        <v>0</v>
      </c>
      <c r="G45" s="382">
        <f>F45+E45</f>
        <v>0</v>
      </c>
      <c r="H45" s="382">
        <f>D45-C45</f>
        <v>-57490.76171875</v>
      </c>
      <c r="I45" s="382">
        <f>D45-E45</f>
        <v>21033</v>
      </c>
      <c r="J45" s="382">
        <f>+J46+J47</f>
        <v>74667.2</v>
      </c>
      <c r="K45" s="382">
        <f>+K46+K47</f>
        <v>78523.76441192627</v>
      </c>
      <c r="L45" s="382">
        <f>+L46+L47</f>
        <v>78523.76441192627</v>
      </c>
      <c r="M45" s="382">
        <f>K45-L45</f>
        <v>0</v>
      </c>
      <c r="N45" s="382" t="s">
        <v>770</v>
      </c>
      <c r="O45" s="382" t="s">
        <v>732</v>
      </c>
      <c r="P45" s="382">
        <v>34</v>
      </c>
      <c r="Q45" s="383">
        <v>37484.708333333336</v>
      </c>
      <c r="R45" s="384"/>
    </row>
    <row r="46" spans="1:18" ht="12.75" outlineLevel="5">
      <c r="A46" s="393" t="s">
        <v>1819</v>
      </c>
      <c r="B46" s="394" t="s">
        <v>1814</v>
      </c>
      <c r="C46" s="387">
        <v>57490.76171875</v>
      </c>
      <c r="D46" s="387">
        <v>0</v>
      </c>
      <c r="E46" s="387">
        <v>0</v>
      </c>
      <c r="F46" s="387">
        <v>0</v>
      </c>
      <c r="G46" s="387">
        <v>0</v>
      </c>
      <c r="H46" s="387">
        <v>-57490.76171875</v>
      </c>
      <c r="I46" s="387">
        <v>0</v>
      </c>
      <c r="J46" s="387">
        <v>54667.2</v>
      </c>
      <c r="K46" s="387">
        <v>57490.76346588135</v>
      </c>
      <c r="L46" s="387">
        <v>57490.76346588135</v>
      </c>
      <c r="M46" s="387"/>
      <c r="N46" s="387" t="s">
        <v>737</v>
      </c>
      <c r="O46" s="387" t="s">
        <v>732</v>
      </c>
      <c r="P46" s="387">
        <v>0</v>
      </c>
      <c r="Q46" s="388">
        <v>37484.708333333336</v>
      </c>
      <c r="R46" s="390"/>
    </row>
    <row r="47" spans="1:18" ht="12.75" outlineLevel="5">
      <c r="A47" s="393" t="s">
        <v>1820</v>
      </c>
      <c r="B47" s="394" t="s">
        <v>1816</v>
      </c>
      <c r="C47" s="387">
        <v>21033</v>
      </c>
      <c r="D47" s="387">
        <v>21033</v>
      </c>
      <c r="E47" s="387">
        <v>0</v>
      </c>
      <c r="F47" s="387">
        <v>0</v>
      </c>
      <c r="G47" s="387">
        <v>0</v>
      </c>
      <c r="H47" s="387">
        <v>0</v>
      </c>
      <c r="I47" s="387">
        <v>21033</v>
      </c>
      <c r="J47" s="387">
        <v>20000</v>
      </c>
      <c r="K47" s="387">
        <v>21033.000946044922</v>
      </c>
      <c r="L47" s="387">
        <v>21033.000946044922</v>
      </c>
      <c r="M47" s="387"/>
      <c r="N47" s="387" t="s">
        <v>737</v>
      </c>
      <c r="O47" s="387" t="s">
        <v>732</v>
      </c>
      <c r="P47" s="387">
        <v>85</v>
      </c>
      <c r="Q47" s="388">
        <v>37428.708333333336</v>
      </c>
      <c r="R47" s="390"/>
    </row>
    <row r="48" spans="1:18" ht="12.75" outlineLevel="4">
      <c r="A48" s="391" t="s">
        <v>1821</v>
      </c>
      <c r="B48" s="392" t="s">
        <v>1822</v>
      </c>
      <c r="C48" s="382">
        <f>0+C49+C50+C51+C52</f>
        <v>69177.541015625</v>
      </c>
      <c r="D48" s="382">
        <f>0+D49+D50+D51+D52</f>
        <v>0</v>
      </c>
      <c r="E48" s="382">
        <f>0+E49+E50+E51+E52</f>
        <v>0</v>
      </c>
      <c r="F48" s="382">
        <f>0+F49+F50+F51+F52</f>
        <v>0</v>
      </c>
      <c r="G48" s="382">
        <f>F48+E48</f>
        <v>0</v>
      </c>
      <c r="H48" s="382">
        <f>D48-C48</f>
        <v>-69177.541015625</v>
      </c>
      <c r="I48" s="382">
        <f>D48-E48</f>
        <v>0</v>
      </c>
      <c r="J48" s="382">
        <f>+J49+J50+J51+J52</f>
        <v>65780</v>
      </c>
      <c r="K48" s="382">
        <f>+K49+K50+K51+K52</f>
        <v>69177.54011154175</v>
      </c>
      <c r="L48" s="382">
        <f>+L49+L50+L51+L52</f>
        <v>69177.54011154175</v>
      </c>
      <c r="M48" s="382">
        <f>K48-L48</f>
        <v>0</v>
      </c>
      <c r="N48" s="382" t="s">
        <v>770</v>
      </c>
      <c r="O48" s="382" t="s">
        <v>732</v>
      </c>
      <c r="P48" s="382">
        <v>0</v>
      </c>
      <c r="Q48" s="383">
        <v>37491.708333333336</v>
      </c>
      <c r="R48" s="384"/>
    </row>
    <row r="49" spans="1:18" ht="12.75" outlineLevel="5">
      <c r="A49" s="393" t="s">
        <v>1823</v>
      </c>
      <c r="B49" s="394" t="s">
        <v>1824</v>
      </c>
      <c r="C49" s="387">
        <v>57840.75390625</v>
      </c>
      <c r="D49" s="387">
        <v>0</v>
      </c>
      <c r="E49" s="387">
        <v>0</v>
      </c>
      <c r="F49" s="387">
        <v>0</v>
      </c>
      <c r="G49" s="387">
        <v>0</v>
      </c>
      <c r="H49" s="387">
        <v>-57840.75390625</v>
      </c>
      <c r="I49" s="387">
        <v>0</v>
      </c>
      <c r="J49" s="387">
        <v>55000</v>
      </c>
      <c r="K49" s="387">
        <v>57840.752601623535</v>
      </c>
      <c r="L49" s="387">
        <v>57840.752601623535</v>
      </c>
      <c r="M49" s="387"/>
      <c r="N49" s="387" t="s">
        <v>737</v>
      </c>
      <c r="O49" s="387" t="s">
        <v>732</v>
      </c>
      <c r="P49" s="387">
        <v>0</v>
      </c>
      <c r="Q49" s="388">
        <v>37491.708333333336</v>
      </c>
      <c r="R49" s="390"/>
    </row>
    <row r="50" spans="1:18" ht="12.75" outlineLevel="5">
      <c r="A50" s="393" t="s">
        <v>1825</v>
      </c>
      <c r="B50" s="394" t="s">
        <v>1826</v>
      </c>
      <c r="C50" s="387">
        <v>11336.787109375</v>
      </c>
      <c r="D50" s="387">
        <v>0</v>
      </c>
      <c r="E50" s="387">
        <v>0</v>
      </c>
      <c r="F50" s="387">
        <v>0</v>
      </c>
      <c r="G50" s="387">
        <v>0</v>
      </c>
      <c r="H50" s="387">
        <v>-11336.787109375</v>
      </c>
      <c r="I50" s="387">
        <v>0</v>
      </c>
      <c r="J50" s="387">
        <v>10780</v>
      </c>
      <c r="K50" s="387">
        <v>11336.787509918213</v>
      </c>
      <c r="L50" s="387">
        <v>11336.787509918213</v>
      </c>
      <c r="M50" s="387"/>
      <c r="N50" s="387" t="s">
        <v>737</v>
      </c>
      <c r="O50" s="387" t="s">
        <v>732</v>
      </c>
      <c r="P50" s="387">
        <v>0</v>
      </c>
      <c r="Q50" s="388">
        <v>37449.708333333336</v>
      </c>
      <c r="R50" s="390"/>
    </row>
    <row r="51" spans="1:18" ht="12.75" outlineLevel="5">
      <c r="A51" s="393" t="s">
        <v>1574</v>
      </c>
      <c r="B51" s="394" t="s">
        <v>1575</v>
      </c>
      <c r="C51" s="387">
        <v>0</v>
      </c>
      <c r="D51" s="387">
        <v>0</v>
      </c>
      <c r="E51" s="387">
        <v>0</v>
      </c>
      <c r="F51" s="387">
        <v>0</v>
      </c>
      <c r="G51" s="387">
        <v>0</v>
      </c>
      <c r="H51" s="387">
        <v>0</v>
      </c>
      <c r="I51" s="387">
        <v>0</v>
      </c>
      <c r="J51" s="387">
        <v>0</v>
      </c>
      <c r="K51" s="387">
        <v>0</v>
      </c>
      <c r="L51" s="387">
        <v>0</v>
      </c>
      <c r="M51" s="387"/>
      <c r="N51" s="387" t="s">
        <v>737</v>
      </c>
      <c r="O51" s="387" t="s">
        <v>732</v>
      </c>
      <c r="P51" s="387">
        <v>0</v>
      </c>
      <c r="Q51" s="388">
        <v>37421.708333333336</v>
      </c>
      <c r="R51" s="390"/>
    </row>
    <row r="52" spans="1:18" ht="12.75" outlineLevel="5">
      <c r="A52" s="393" t="s">
        <v>1827</v>
      </c>
      <c r="B52" s="394" t="s">
        <v>1795</v>
      </c>
      <c r="C52" s="387">
        <v>0</v>
      </c>
      <c r="D52" s="387">
        <v>0</v>
      </c>
      <c r="E52" s="387">
        <v>0</v>
      </c>
      <c r="F52" s="387">
        <v>0</v>
      </c>
      <c r="G52" s="387">
        <v>0</v>
      </c>
      <c r="H52" s="387">
        <v>0</v>
      </c>
      <c r="I52" s="387">
        <v>0</v>
      </c>
      <c r="J52" s="387">
        <v>0</v>
      </c>
      <c r="K52" s="387">
        <v>0</v>
      </c>
      <c r="L52" s="387">
        <v>0</v>
      </c>
      <c r="M52" s="387"/>
      <c r="N52" s="387" t="s">
        <v>737</v>
      </c>
      <c r="O52" s="387" t="s">
        <v>732</v>
      </c>
      <c r="P52" s="387">
        <v>0</v>
      </c>
      <c r="Q52" s="388">
        <v>37484.708333333336</v>
      </c>
      <c r="R52" s="390"/>
    </row>
    <row r="53" spans="1:18" ht="12.75" outlineLevel="3">
      <c r="A53" s="380" t="s">
        <v>1828</v>
      </c>
      <c r="B53" s="381" t="s">
        <v>1829</v>
      </c>
      <c r="C53" s="382">
        <f>0+C54+C55+C56</f>
        <v>0</v>
      </c>
      <c r="D53" s="382">
        <f>0+D54+D55+D56</f>
        <v>0</v>
      </c>
      <c r="E53" s="382">
        <f>0+E54+E55+E56</f>
        <v>0</v>
      </c>
      <c r="F53" s="382">
        <f>0+F54+F55+F56</f>
        <v>0</v>
      </c>
      <c r="G53" s="382">
        <f>F53+E53</f>
        <v>0</v>
      </c>
      <c r="H53" s="382">
        <f>D53-C53</f>
        <v>0</v>
      </c>
      <c r="I53" s="382">
        <f>D53-E53</f>
        <v>0</v>
      </c>
      <c r="J53" s="382">
        <f>+J54+J55+J56</f>
        <v>34484</v>
      </c>
      <c r="K53" s="382">
        <f>+K54+K55+K56</f>
        <v>37026.66947364807</v>
      </c>
      <c r="L53" s="382">
        <f>+L54+L55+L56</f>
        <v>37026.66947364807</v>
      </c>
      <c r="M53" s="382">
        <f>K53-L53</f>
        <v>0</v>
      </c>
      <c r="N53" s="382" t="s">
        <v>768</v>
      </c>
      <c r="O53" s="382" t="s">
        <v>732</v>
      </c>
      <c r="P53" s="382">
        <v>5</v>
      </c>
      <c r="Q53" s="383">
        <v>37904.708333333336</v>
      </c>
      <c r="R53" s="384"/>
    </row>
    <row r="54" spans="1:18" ht="12.75" outlineLevel="4">
      <c r="A54" s="385" t="s">
        <v>1830</v>
      </c>
      <c r="B54" s="386" t="s">
        <v>1831</v>
      </c>
      <c r="C54" s="387">
        <v>0</v>
      </c>
      <c r="D54" s="387">
        <v>0</v>
      </c>
      <c r="E54" s="387">
        <v>0</v>
      </c>
      <c r="F54" s="387">
        <v>0</v>
      </c>
      <c r="G54" s="387">
        <v>0</v>
      </c>
      <c r="H54" s="387">
        <v>0</v>
      </c>
      <c r="I54" s="387">
        <v>0</v>
      </c>
      <c r="J54" s="387">
        <v>27500</v>
      </c>
      <c r="K54" s="387">
        <v>29527.705907821655</v>
      </c>
      <c r="L54" s="387">
        <v>29527.705907821655</v>
      </c>
      <c r="M54" s="387"/>
      <c r="N54" s="387" t="s">
        <v>780</v>
      </c>
      <c r="O54" s="387" t="s">
        <v>732</v>
      </c>
      <c r="P54" s="387">
        <v>0</v>
      </c>
      <c r="Q54" s="388">
        <v>37834.708333333336</v>
      </c>
      <c r="R54" s="390"/>
    </row>
    <row r="55" spans="1:18" ht="12.75" outlineLevel="4">
      <c r="A55" s="385" t="s">
        <v>1833</v>
      </c>
      <c r="B55" s="386" t="s">
        <v>1834</v>
      </c>
      <c r="C55" s="387">
        <v>0</v>
      </c>
      <c r="D55" s="387">
        <v>0</v>
      </c>
      <c r="E55" s="387">
        <v>0</v>
      </c>
      <c r="F55" s="387">
        <v>0</v>
      </c>
      <c r="G55" s="387">
        <v>0</v>
      </c>
      <c r="H55" s="387">
        <v>0</v>
      </c>
      <c r="I55" s="387">
        <v>0</v>
      </c>
      <c r="J55" s="387">
        <v>6984</v>
      </c>
      <c r="K55" s="387">
        <v>7498.963565826416</v>
      </c>
      <c r="L55" s="387">
        <v>7498.963565826416</v>
      </c>
      <c r="M55" s="387"/>
      <c r="N55" s="387" t="s">
        <v>780</v>
      </c>
      <c r="O55" s="387" t="s">
        <v>732</v>
      </c>
      <c r="P55" s="387">
        <v>0</v>
      </c>
      <c r="Q55" s="388">
        <v>37890.708333333336</v>
      </c>
      <c r="R55" s="390"/>
    </row>
    <row r="56" spans="1:18" ht="12.75" outlineLevel="4">
      <c r="A56" s="385" t="s">
        <v>1835</v>
      </c>
      <c r="B56" s="386" t="s">
        <v>1836</v>
      </c>
      <c r="C56" s="387">
        <v>0</v>
      </c>
      <c r="D56" s="387">
        <v>0</v>
      </c>
      <c r="E56" s="387">
        <v>0</v>
      </c>
      <c r="F56" s="387">
        <v>0</v>
      </c>
      <c r="G56" s="387">
        <v>0</v>
      </c>
      <c r="H56" s="387">
        <v>0</v>
      </c>
      <c r="I56" s="387">
        <v>0</v>
      </c>
      <c r="J56" s="387">
        <v>0</v>
      </c>
      <c r="K56" s="387">
        <v>0</v>
      </c>
      <c r="L56" s="387">
        <v>0</v>
      </c>
      <c r="M56" s="387"/>
      <c r="N56" s="387" t="s">
        <v>736</v>
      </c>
      <c r="O56" s="387" t="s">
        <v>732</v>
      </c>
      <c r="P56" s="387">
        <v>0</v>
      </c>
      <c r="Q56" s="388">
        <v>37904.708333333336</v>
      </c>
      <c r="R56" s="390"/>
    </row>
    <row r="57" spans="1:18" ht="12.75" outlineLevel="3">
      <c r="A57" s="380" t="s">
        <v>1837</v>
      </c>
      <c r="B57" s="381" t="s">
        <v>1838</v>
      </c>
      <c r="C57" s="382">
        <f>0+C58+C59+C60</f>
        <v>0</v>
      </c>
      <c r="D57" s="382">
        <f>0+D58+D59+D60</f>
        <v>0</v>
      </c>
      <c r="E57" s="382">
        <f>0+E58+E59+E60</f>
        <v>0</v>
      </c>
      <c r="F57" s="382">
        <f>0+F58+F59+F60</f>
        <v>20742</v>
      </c>
      <c r="G57" s="382">
        <f>F57+E57</f>
        <v>20742</v>
      </c>
      <c r="H57" s="382">
        <f>D57-C57</f>
        <v>0</v>
      </c>
      <c r="I57" s="382">
        <f>D57-E57</f>
        <v>0</v>
      </c>
      <c r="J57" s="382">
        <f>+J58+J59+J60</f>
        <v>8400</v>
      </c>
      <c r="K57" s="382">
        <f>+K58+K59+K60</f>
        <v>9083.795928955078</v>
      </c>
      <c r="L57" s="382">
        <f>+L58+L59+L60</f>
        <v>9083.795928955078</v>
      </c>
      <c r="M57" s="382">
        <f>K57-L57</f>
        <v>0</v>
      </c>
      <c r="N57" s="382" t="s">
        <v>768</v>
      </c>
      <c r="O57" s="382" t="s">
        <v>732</v>
      </c>
      <c r="P57" s="382">
        <v>0</v>
      </c>
      <c r="Q57" s="383">
        <v>37932.708333333336</v>
      </c>
      <c r="R57" s="384"/>
    </row>
    <row r="58" spans="1:18" ht="12.75" outlineLevel="4">
      <c r="A58" s="385" t="s">
        <v>1839</v>
      </c>
      <c r="B58" s="386" t="s">
        <v>1840</v>
      </c>
      <c r="C58" s="387">
        <v>0</v>
      </c>
      <c r="D58" s="387">
        <v>0</v>
      </c>
      <c r="E58" s="387">
        <v>0</v>
      </c>
      <c r="F58" s="387">
        <v>20742</v>
      </c>
      <c r="G58" s="387">
        <v>20742</v>
      </c>
      <c r="H58" s="387">
        <v>0</v>
      </c>
      <c r="I58" s="387">
        <v>0</v>
      </c>
      <c r="J58" s="387">
        <v>6000</v>
      </c>
      <c r="K58" s="387">
        <v>6442.408561706543</v>
      </c>
      <c r="L58" s="387">
        <v>6442.408561706543</v>
      </c>
      <c r="M58" s="387"/>
      <c r="N58" s="387" t="s">
        <v>736</v>
      </c>
      <c r="O58" s="387" t="s">
        <v>732</v>
      </c>
      <c r="P58" s="387">
        <v>0</v>
      </c>
      <c r="Q58" s="388">
        <v>37904.708333333336</v>
      </c>
      <c r="R58" s="390"/>
    </row>
    <row r="59" spans="1:18" ht="12.75" outlineLevel="4">
      <c r="A59" s="385" t="s">
        <v>1842</v>
      </c>
      <c r="B59" s="386" t="s">
        <v>1843</v>
      </c>
      <c r="C59" s="387">
        <v>0</v>
      </c>
      <c r="D59" s="387">
        <v>0</v>
      </c>
      <c r="E59" s="387">
        <v>0</v>
      </c>
      <c r="F59" s="387">
        <v>0</v>
      </c>
      <c r="G59" s="387">
        <v>0</v>
      </c>
      <c r="H59" s="387">
        <v>0</v>
      </c>
      <c r="I59" s="387">
        <v>0</v>
      </c>
      <c r="J59" s="387">
        <v>2400</v>
      </c>
      <c r="K59" s="387">
        <v>2641.387367248535</v>
      </c>
      <c r="L59" s="387">
        <v>2641.387367248535</v>
      </c>
      <c r="M59" s="387"/>
      <c r="N59" s="387" t="s">
        <v>736</v>
      </c>
      <c r="O59" s="387" t="s">
        <v>732</v>
      </c>
      <c r="P59" s="387">
        <v>0</v>
      </c>
      <c r="Q59" s="388">
        <v>37918.708333333336</v>
      </c>
      <c r="R59" s="390"/>
    </row>
    <row r="60" spans="1:18" ht="12.75" outlineLevel="4">
      <c r="A60" s="385" t="s">
        <v>1844</v>
      </c>
      <c r="B60" s="386" t="s">
        <v>0</v>
      </c>
      <c r="C60" s="387">
        <v>0</v>
      </c>
      <c r="D60" s="387">
        <v>0</v>
      </c>
      <c r="E60" s="387">
        <v>0</v>
      </c>
      <c r="F60" s="387">
        <v>0</v>
      </c>
      <c r="G60" s="387">
        <v>0</v>
      </c>
      <c r="H60" s="387">
        <v>0</v>
      </c>
      <c r="I60" s="387">
        <v>0</v>
      </c>
      <c r="J60" s="387">
        <v>0</v>
      </c>
      <c r="K60" s="387">
        <v>0</v>
      </c>
      <c r="L60" s="387">
        <v>0</v>
      </c>
      <c r="M60" s="387"/>
      <c r="N60" s="387" t="s">
        <v>736</v>
      </c>
      <c r="O60" s="387" t="s">
        <v>732</v>
      </c>
      <c r="P60" s="387">
        <v>0</v>
      </c>
      <c r="Q60" s="388">
        <v>37932.708333333336</v>
      </c>
      <c r="R60" s="390"/>
    </row>
    <row r="61" spans="1:18" ht="12.75" outlineLevel="3">
      <c r="A61" s="380" t="s">
        <v>1</v>
      </c>
      <c r="B61" s="381" t="s">
        <v>2</v>
      </c>
      <c r="C61" s="382">
        <f>0+C62+C63+C64</f>
        <v>0</v>
      </c>
      <c r="D61" s="382">
        <f>0+D62+D63+D64</f>
        <v>0</v>
      </c>
      <c r="E61" s="382">
        <f>0+E62+E63+E64</f>
        <v>0</v>
      </c>
      <c r="F61" s="382">
        <f>0+F62+F63+F64</f>
        <v>0</v>
      </c>
      <c r="G61" s="382">
        <f>F61+E61</f>
        <v>0</v>
      </c>
      <c r="H61" s="382">
        <f>D61-C61</f>
        <v>0</v>
      </c>
      <c r="I61" s="382">
        <f>D61-E61</f>
        <v>0</v>
      </c>
      <c r="J61" s="382">
        <f>+J62+J63+J64</f>
        <v>35568</v>
      </c>
      <c r="K61" s="382">
        <f>+K62+K63+K64</f>
        <v>38190.59795379639</v>
      </c>
      <c r="L61" s="382">
        <f>+L62+L63+L64</f>
        <v>38190.59795379639</v>
      </c>
      <c r="M61" s="382">
        <f>K61-L61</f>
        <v>0</v>
      </c>
      <c r="N61" s="382" t="s">
        <v>768</v>
      </c>
      <c r="O61" s="382" t="s">
        <v>732</v>
      </c>
      <c r="P61" s="382">
        <v>35</v>
      </c>
      <c r="Q61" s="383">
        <v>37852.43402777778</v>
      </c>
      <c r="R61" s="384"/>
    </row>
    <row r="62" spans="1:18" ht="12.75" outlineLevel="4">
      <c r="A62" s="385" t="s">
        <v>3</v>
      </c>
      <c r="B62" s="386" t="s">
        <v>1576</v>
      </c>
      <c r="C62" s="387">
        <v>0</v>
      </c>
      <c r="D62" s="387">
        <v>0</v>
      </c>
      <c r="E62" s="387">
        <v>0</v>
      </c>
      <c r="F62" s="387">
        <v>0</v>
      </c>
      <c r="G62" s="387">
        <v>0</v>
      </c>
      <c r="H62" s="387">
        <v>0</v>
      </c>
      <c r="I62" s="387">
        <v>0</v>
      </c>
      <c r="J62" s="387">
        <v>28800</v>
      </c>
      <c r="K62" s="387">
        <v>30923.561096191406</v>
      </c>
      <c r="L62" s="387">
        <v>30923.561096191406</v>
      </c>
      <c r="M62" s="387"/>
      <c r="N62" s="387" t="s">
        <v>736</v>
      </c>
      <c r="O62" s="387" t="s">
        <v>732</v>
      </c>
      <c r="P62" s="387">
        <v>0</v>
      </c>
      <c r="Q62" s="388">
        <v>37810.43402777778</v>
      </c>
      <c r="R62" s="390"/>
    </row>
    <row r="63" spans="1:18" ht="12.75" outlineLevel="4">
      <c r="A63" s="385" t="s">
        <v>5</v>
      </c>
      <c r="B63" s="386" t="s">
        <v>6</v>
      </c>
      <c r="C63" s="387">
        <v>0</v>
      </c>
      <c r="D63" s="387">
        <v>0</v>
      </c>
      <c r="E63" s="387">
        <v>0</v>
      </c>
      <c r="F63" s="387">
        <v>0</v>
      </c>
      <c r="G63" s="387">
        <v>0</v>
      </c>
      <c r="H63" s="387">
        <v>0</v>
      </c>
      <c r="I63" s="387">
        <v>0</v>
      </c>
      <c r="J63" s="387">
        <v>6768</v>
      </c>
      <c r="K63" s="387">
        <v>7267.0368576049805</v>
      </c>
      <c r="L63" s="387">
        <v>7267.0368576049805</v>
      </c>
      <c r="M63" s="387"/>
      <c r="N63" s="387" t="s">
        <v>736</v>
      </c>
      <c r="O63" s="387" t="s">
        <v>732</v>
      </c>
      <c r="P63" s="387">
        <v>0</v>
      </c>
      <c r="Q63" s="388">
        <v>37838.43402777778</v>
      </c>
      <c r="R63" s="390"/>
    </row>
    <row r="64" spans="1:18" ht="12.75" outlineLevel="4">
      <c r="A64" s="385" t="s">
        <v>7</v>
      </c>
      <c r="B64" s="386" t="s">
        <v>8</v>
      </c>
      <c r="C64" s="387">
        <v>0</v>
      </c>
      <c r="D64" s="387">
        <v>0</v>
      </c>
      <c r="E64" s="387">
        <v>0</v>
      </c>
      <c r="F64" s="387">
        <v>0</v>
      </c>
      <c r="G64" s="387">
        <v>0</v>
      </c>
      <c r="H64" s="387">
        <v>0</v>
      </c>
      <c r="I64" s="387">
        <v>0</v>
      </c>
      <c r="J64" s="387">
        <v>0</v>
      </c>
      <c r="K64" s="387">
        <v>0</v>
      </c>
      <c r="L64" s="387">
        <v>0</v>
      </c>
      <c r="M64" s="387"/>
      <c r="N64" s="387" t="s">
        <v>736</v>
      </c>
      <c r="O64" s="387" t="s">
        <v>732</v>
      </c>
      <c r="P64" s="387">
        <v>0</v>
      </c>
      <c r="Q64" s="388">
        <v>37852.43402777778</v>
      </c>
      <c r="R64" s="390"/>
    </row>
    <row r="65" spans="1:18" ht="12.75" outlineLevel="3">
      <c r="A65" s="380" t="s">
        <v>9</v>
      </c>
      <c r="B65" s="381" t="s">
        <v>10</v>
      </c>
      <c r="C65" s="382">
        <f>0+C66+C67</f>
        <v>0</v>
      </c>
      <c r="D65" s="382">
        <f>0+D66+D67</f>
        <v>0</v>
      </c>
      <c r="E65" s="382">
        <f>0+E66+E67</f>
        <v>0</v>
      </c>
      <c r="F65" s="382">
        <f>0+F66+F67</f>
        <v>0</v>
      </c>
      <c r="G65" s="382">
        <f>F65+E65</f>
        <v>0</v>
      </c>
      <c r="H65" s="382">
        <f>D65-C65</f>
        <v>0</v>
      </c>
      <c r="I65" s="382">
        <f>D65-E65</f>
        <v>0</v>
      </c>
      <c r="J65" s="382">
        <f>+J66+J67</f>
        <v>0</v>
      </c>
      <c r="K65" s="382">
        <f>+K66+K67</f>
        <v>0</v>
      </c>
      <c r="L65" s="382">
        <f>+L66+L67</f>
        <v>0</v>
      </c>
      <c r="M65" s="382">
        <f>K65-L65</f>
        <v>0</v>
      </c>
      <c r="N65" s="382" t="s">
        <v>768</v>
      </c>
      <c r="O65" s="382" t="s">
        <v>732</v>
      </c>
      <c r="P65" s="382">
        <v>0</v>
      </c>
      <c r="Q65" s="383">
        <v>37813.708333333336</v>
      </c>
      <c r="R65" s="384"/>
    </row>
    <row r="66" spans="1:18" ht="12.75" outlineLevel="4">
      <c r="A66" s="385" t="s">
        <v>11</v>
      </c>
      <c r="B66" s="386" t="s">
        <v>12</v>
      </c>
      <c r="C66" s="387">
        <v>0</v>
      </c>
      <c r="D66" s="387">
        <v>0</v>
      </c>
      <c r="E66" s="387">
        <v>0</v>
      </c>
      <c r="F66" s="387">
        <v>0</v>
      </c>
      <c r="G66" s="387">
        <v>0</v>
      </c>
      <c r="H66" s="387">
        <v>0</v>
      </c>
      <c r="I66" s="387">
        <v>0</v>
      </c>
      <c r="J66" s="387">
        <v>0</v>
      </c>
      <c r="K66" s="387">
        <v>0</v>
      </c>
      <c r="L66" s="387">
        <v>0</v>
      </c>
      <c r="M66" s="387"/>
      <c r="N66" s="387" t="s">
        <v>736</v>
      </c>
      <c r="O66" s="387" t="s">
        <v>732</v>
      </c>
      <c r="P66" s="387">
        <v>0</v>
      </c>
      <c r="Q66" s="388">
        <v>37799.708333333336</v>
      </c>
      <c r="R66" s="390"/>
    </row>
    <row r="67" spans="1:18" ht="12.75" outlineLevel="4">
      <c r="A67" s="385" t="s">
        <v>13</v>
      </c>
      <c r="B67" s="386" t="s">
        <v>14</v>
      </c>
      <c r="C67" s="387">
        <v>0</v>
      </c>
      <c r="D67" s="387">
        <v>0</v>
      </c>
      <c r="E67" s="387">
        <v>0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</v>
      </c>
      <c r="L67" s="387">
        <v>0</v>
      </c>
      <c r="M67" s="387"/>
      <c r="N67" s="387" t="s">
        <v>736</v>
      </c>
      <c r="O67" s="387" t="s">
        <v>732</v>
      </c>
      <c r="P67" s="387">
        <v>0</v>
      </c>
      <c r="Q67" s="388">
        <v>37813.708333333336</v>
      </c>
      <c r="R67" s="390"/>
    </row>
    <row r="68" spans="1:18" ht="12.75" outlineLevel="3">
      <c r="A68" s="380" t="s">
        <v>781</v>
      </c>
      <c r="B68" s="381" t="s">
        <v>782</v>
      </c>
      <c r="C68" s="382">
        <f>0+C69+C70</f>
        <v>0</v>
      </c>
      <c r="D68" s="382">
        <f>0+D69+D70</f>
        <v>0</v>
      </c>
      <c r="E68" s="382">
        <f>0+E69+E70</f>
        <v>0</v>
      </c>
      <c r="F68" s="382">
        <f>0+F69+F70</f>
        <v>0</v>
      </c>
      <c r="G68" s="382">
        <f>F68+E68</f>
        <v>0</v>
      </c>
      <c r="H68" s="382">
        <f>D68-C68</f>
        <v>0</v>
      </c>
      <c r="I68" s="382">
        <f>D68-E68</f>
        <v>0</v>
      </c>
      <c r="J68" s="382">
        <f>+J69+J70</f>
        <v>0</v>
      </c>
      <c r="K68" s="382">
        <f>+K69+K70</f>
        <v>0</v>
      </c>
      <c r="L68" s="382">
        <f>+L69+L70</f>
        <v>0</v>
      </c>
      <c r="M68" s="382">
        <f>K68-L68</f>
        <v>0</v>
      </c>
      <c r="N68" s="382" t="s">
        <v>768</v>
      </c>
      <c r="O68" s="382" t="s">
        <v>732</v>
      </c>
      <c r="P68" s="382">
        <v>100</v>
      </c>
      <c r="Q68" s="383">
        <v>36181.708333333336</v>
      </c>
      <c r="R68" s="384"/>
    </row>
    <row r="69" spans="1:18" ht="12.75" outlineLevel="4">
      <c r="A69" s="391" t="s">
        <v>783</v>
      </c>
      <c r="B69" s="392" t="s">
        <v>784</v>
      </c>
      <c r="C69" s="382">
        <v>0</v>
      </c>
      <c r="D69" s="382">
        <v>0</v>
      </c>
      <c r="E69" s="382">
        <v>0</v>
      </c>
      <c r="F69" s="382">
        <v>0</v>
      </c>
      <c r="G69" s="382"/>
      <c r="H69" s="382"/>
      <c r="I69" s="382"/>
      <c r="J69" s="382"/>
      <c r="K69" s="382"/>
      <c r="L69" s="382"/>
      <c r="M69" s="382">
        <f>K69-L69</f>
        <v>0</v>
      </c>
      <c r="N69" s="382" t="s">
        <v>770</v>
      </c>
      <c r="O69" s="382" t="s">
        <v>732</v>
      </c>
      <c r="P69" s="382">
        <v>100</v>
      </c>
      <c r="Q69" s="383">
        <v>36181.708333333336</v>
      </c>
      <c r="R69" s="384"/>
    </row>
    <row r="70" spans="1:18" ht="12.75" outlineLevel="4">
      <c r="A70" s="391" t="s">
        <v>785</v>
      </c>
      <c r="B70" s="392" t="s">
        <v>786</v>
      </c>
      <c r="C70" s="382">
        <v>0</v>
      </c>
      <c r="D70" s="382">
        <v>0</v>
      </c>
      <c r="E70" s="382">
        <v>0</v>
      </c>
      <c r="F70" s="382">
        <v>0</v>
      </c>
      <c r="G70" s="382"/>
      <c r="H70" s="382"/>
      <c r="I70" s="382"/>
      <c r="J70" s="382"/>
      <c r="K70" s="382"/>
      <c r="L70" s="382"/>
      <c r="M70" s="382">
        <f>K70-L70</f>
        <v>0</v>
      </c>
      <c r="N70" s="382" t="s">
        <v>770</v>
      </c>
      <c r="O70" s="382" t="s">
        <v>732</v>
      </c>
      <c r="P70" s="382">
        <v>100</v>
      </c>
      <c r="Q70" s="383">
        <v>35921.708333333336</v>
      </c>
      <c r="R70" s="384"/>
    </row>
    <row r="71" spans="1:18" ht="12.75" outlineLevel="3">
      <c r="A71" s="380" t="s">
        <v>15</v>
      </c>
      <c r="B71" s="381" t="s">
        <v>16</v>
      </c>
      <c r="C71" s="382">
        <f>0+C72+C73+C74</f>
        <v>0</v>
      </c>
      <c r="D71" s="382">
        <f>0+D72+D73+D74</f>
        <v>0</v>
      </c>
      <c r="E71" s="382">
        <f>0+E72+E73+E74</f>
        <v>0</v>
      </c>
      <c r="F71" s="382">
        <f>0+F72+F73+F74</f>
        <v>0</v>
      </c>
      <c r="G71" s="382">
        <f>F71+E71</f>
        <v>0</v>
      </c>
      <c r="H71" s="382">
        <f>D71-C71</f>
        <v>0</v>
      </c>
      <c r="I71" s="382">
        <f>D71-E71</f>
        <v>0</v>
      </c>
      <c r="J71" s="382">
        <f>+J72+J73+J74</f>
        <v>12000</v>
      </c>
      <c r="K71" s="382">
        <f>+K72+K73+K74</f>
        <v>12884.817123413086</v>
      </c>
      <c r="L71" s="382">
        <f>+L72+L73+L74</f>
        <v>12884.817123413086</v>
      </c>
      <c r="M71" s="382">
        <f>K71-L71</f>
        <v>0</v>
      </c>
      <c r="N71" s="382" t="s">
        <v>768</v>
      </c>
      <c r="O71" s="382" t="s">
        <v>732</v>
      </c>
      <c r="P71" s="382">
        <v>59</v>
      </c>
      <c r="Q71" s="383">
        <v>37764.708333333336</v>
      </c>
      <c r="R71" s="384"/>
    </row>
    <row r="72" spans="1:18" ht="12.75" outlineLevel="4">
      <c r="A72" s="385" t="s">
        <v>17</v>
      </c>
      <c r="B72" s="386" t="s">
        <v>18</v>
      </c>
      <c r="C72" s="387">
        <v>0</v>
      </c>
      <c r="D72" s="387">
        <v>0</v>
      </c>
      <c r="E72" s="387">
        <v>0</v>
      </c>
      <c r="F72" s="387">
        <v>0</v>
      </c>
      <c r="G72" s="387">
        <v>0</v>
      </c>
      <c r="H72" s="387">
        <v>0</v>
      </c>
      <c r="I72" s="387">
        <v>0</v>
      </c>
      <c r="J72" s="387">
        <v>12000</v>
      </c>
      <c r="K72" s="387">
        <v>12884.817123413086</v>
      </c>
      <c r="L72" s="387">
        <v>12884.817123413086</v>
      </c>
      <c r="M72" s="387"/>
      <c r="N72" s="387" t="s">
        <v>736</v>
      </c>
      <c r="O72" s="387" t="s">
        <v>732</v>
      </c>
      <c r="P72" s="387">
        <v>0</v>
      </c>
      <c r="Q72" s="388">
        <v>37764.708333333336</v>
      </c>
      <c r="R72" s="390"/>
    </row>
    <row r="73" spans="1:18" ht="12.75" outlineLevel="4">
      <c r="A73" s="385" t="s">
        <v>19</v>
      </c>
      <c r="B73" s="386" t="s">
        <v>20</v>
      </c>
      <c r="C73" s="387">
        <v>0</v>
      </c>
      <c r="D73" s="387">
        <v>0</v>
      </c>
      <c r="E73" s="387">
        <v>0</v>
      </c>
      <c r="F73" s="387">
        <v>0</v>
      </c>
      <c r="G73" s="387">
        <v>0</v>
      </c>
      <c r="H73" s="387">
        <v>0</v>
      </c>
      <c r="I73" s="387">
        <v>0</v>
      </c>
      <c r="J73" s="387">
        <v>0</v>
      </c>
      <c r="K73" s="387">
        <v>0</v>
      </c>
      <c r="L73" s="387">
        <v>0</v>
      </c>
      <c r="M73" s="387"/>
      <c r="N73" s="387" t="s">
        <v>736</v>
      </c>
      <c r="O73" s="387" t="s">
        <v>732</v>
      </c>
      <c r="P73" s="387">
        <v>0</v>
      </c>
      <c r="Q73" s="388">
        <v>37652.708333333336</v>
      </c>
      <c r="R73" s="390"/>
    </row>
    <row r="74" spans="1:18" ht="12.75" outlineLevel="4">
      <c r="A74" s="385" t="s">
        <v>21</v>
      </c>
      <c r="B74" s="386" t="s">
        <v>22</v>
      </c>
      <c r="C74" s="387">
        <v>0</v>
      </c>
      <c r="D74" s="387">
        <v>0</v>
      </c>
      <c r="E74" s="387">
        <v>0</v>
      </c>
      <c r="F74" s="387">
        <v>0</v>
      </c>
      <c r="G74" s="387">
        <v>0</v>
      </c>
      <c r="H74" s="387">
        <v>0</v>
      </c>
      <c r="I74" s="387">
        <v>0</v>
      </c>
      <c r="J74" s="387">
        <v>0</v>
      </c>
      <c r="K74" s="387">
        <v>0</v>
      </c>
      <c r="L74" s="387">
        <v>0</v>
      </c>
      <c r="M74" s="387"/>
      <c r="N74" s="387" t="s">
        <v>736</v>
      </c>
      <c r="O74" s="387" t="s">
        <v>732</v>
      </c>
      <c r="P74" s="387">
        <v>0</v>
      </c>
      <c r="Q74" s="388">
        <v>37666.708333333336</v>
      </c>
      <c r="R74" s="390"/>
    </row>
    <row r="75" spans="1:18" ht="12.75" outlineLevel="3">
      <c r="A75" s="380" t="s">
        <v>23</v>
      </c>
      <c r="B75" s="381" t="s">
        <v>1577</v>
      </c>
      <c r="C75" s="382">
        <f>0+C76+C77+C80+C83+C86</f>
        <v>156981.1787109375</v>
      </c>
      <c r="D75" s="382">
        <f>0+D76+D77+D80+D83+D86</f>
        <v>112517.4150390625</v>
      </c>
      <c r="E75" s="382">
        <f>0+E76+E77+E80+E83+E86</f>
        <v>0</v>
      </c>
      <c r="F75" s="382">
        <f>0+F76+F77+F80+F83+F86</f>
        <v>0</v>
      </c>
      <c r="G75" s="382">
        <f>F75+E75</f>
        <v>0</v>
      </c>
      <c r="H75" s="382">
        <f>D75-C75</f>
        <v>-44463.763671875</v>
      </c>
      <c r="I75" s="382">
        <f>D75-E75</f>
        <v>112517.4150390625</v>
      </c>
      <c r="J75" s="382">
        <f>+J76+J77+J80+J83+J86</f>
        <v>187785</v>
      </c>
      <c r="K75" s="382">
        <f>+K76+K77+K80+K83+K86</f>
        <v>194183.94000947475</v>
      </c>
      <c r="L75" s="382">
        <f>+L76+L77+L80+L83+L86</f>
        <v>112671.75025308132</v>
      </c>
      <c r="M75" s="382">
        <f aca="true" t="shared" si="0" ref="M75:M80">K75-L75</f>
        <v>81512.18975639343</v>
      </c>
      <c r="N75" s="382" t="s">
        <v>742</v>
      </c>
      <c r="O75" s="382" t="s">
        <v>732</v>
      </c>
      <c r="P75" s="382">
        <v>68</v>
      </c>
      <c r="Q75" s="383">
        <v>37862.708333333336</v>
      </c>
      <c r="R75" s="384"/>
    </row>
    <row r="76" spans="1:18" ht="12.75" outlineLevel="4">
      <c r="A76" s="385" t="s">
        <v>27</v>
      </c>
      <c r="B76" s="386" t="s">
        <v>1578</v>
      </c>
      <c r="C76" s="387">
        <v>4522.1904296875</v>
      </c>
      <c r="D76" s="387">
        <v>4522.1904296875</v>
      </c>
      <c r="E76" s="387">
        <v>0</v>
      </c>
      <c r="F76" s="387">
        <v>0</v>
      </c>
      <c r="G76" s="387">
        <v>0</v>
      </c>
      <c r="H76" s="387">
        <v>0</v>
      </c>
      <c r="I76" s="387">
        <v>4522.1904296875</v>
      </c>
      <c r="J76" s="387">
        <v>4368</v>
      </c>
      <c r="K76" s="387">
        <v>4522.19047164917</v>
      </c>
      <c r="L76" s="387">
        <v>0</v>
      </c>
      <c r="M76" s="387">
        <f t="shared" si="0"/>
        <v>4522.19047164917</v>
      </c>
      <c r="N76" s="387" t="s">
        <v>344</v>
      </c>
      <c r="O76" s="387" t="s">
        <v>732</v>
      </c>
      <c r="P76" s="387">
        <v>100</v>
      </c>
      <c r="Q76" s="388">
        <v>36406.708333333336</v>
      </c>
      <c r="R76" s="389" t="s">
        <v>733</v>
      </c>
    </row>
    <row r="77" spans="1:18" ht="12.75" outlineLevel="4">
      <c r="A77" s="391" t="s">
        <v>29</v>
      </c>
      <c r="B77" s="392" t="s">
        <v>1579</v>
      </c>
      <c r="C77" s="382">
        <f>0+C78+C79</f>
        <v>46240</v>
      </c>
      <c r="D77" s="382">
        <f>0+D78+D79</f>
        <v>46240</v>
      </c>
      <c r="E77" s="382">
        <f>0+E78+E79</f>
        <v>0</v>
      </c>
      <c r="F77" s="382">
        <f>0+F78+F79</f>
        <v>0</v>
      </c>
      <c r="G77" s="382">
        <f>F77+E77</f>
        <v>0</v>
      </c>
      <c r="H77" s="382">
        <f>D77-C77</f>
        <v>0</v>
      </c>
      <c r="I77" s="382">
        <f>D77-E77</f>
        <v>46240</v>
      </c>
      <c r="J77" s="382">
        <f>+J78+J79</f>
        <v>46240</v>
      </c>
      <c r="K77" s="382">
        <f>+K78+K79</f>
        <v>46240</v>
      </c>
      <c r="L77" s="382">
        <f>0+L78+L79</f>
        <v>0</v>
      </c>
      <c r="M77" s="382">
        <f t="shared" si="0"/>
        <v>46240</v>
      </c>
      <c r="N77" s="382" t="s">
        <v>742</v>
      </c>
      <c r="O77" s="382" t="s">
        <v>732</v>
      </c>
      <c r="P77" s="382">
        <v>100</v>
      </c>
      <c r="Q77" s="383">
        <v>36756.708333333336</v>
      </c>
      <c r="R77" s="384"/>
    </row>
    <row r="78" spans="1:18" ht="12.75" outlineLevel="5">
      <c r="A78" s="393" t="s">
        <v>31</v>
      </c>
      <c r="B78" s="394" t="s">
        <v>1580</v>
      </c>
      <c r="C78" s="387">
        <v>21140</v>
      </c>
      <c r="D78" s="387">
        <v>21140</v>
      </c>
      <c r="E78" s="387">
        <v>0</v>
      </c>
      <c r="F78" s="387">
        <v>0</v>
      </c>
      <c r="G78" s="387">
        <v>0</v>
      </c>
      <c r="H78" s="387">
        <v>0</v>
      </c>
      <c r="I78" s="387">
        <v>21140</v>
      </c>
      <c r="J78" s="387">
        <v>21140</v>
      </c>
      <c r="K78" s="387">
        <v>21140</v>
      </c>
      <c r="L78" s="387">
        <v>0</v>
      </c>
      <c r="M78" s="387">
        <f t="shared" si="0"/>
        <v>21140</v>
      </c>
      <c r="N78" s="387" t="s">
        <v>344</v>
      </c>
      <c r="O78" s="387" t="s">
        <v>732</v>
      </c>
      <c r="P78" s="387">
        <v>100</v>
      </c>
      <c r="Q78" s="388">
        <v>36756.708333333336</v>
      </c>
      <c r="R78" s="389" t="s">
        <v>733</v>
      </c>
    </row>
    <row r="79" spans="1:18" ht="12.75" outlineLevel="5">
      <c r="A79" s="393" t="s">
        <v>33</v>
      </c>
      <c r="B79" s="394" t="s">
        <v>1581</v>
      </c>
      <c r="C79" s="387">
        <v>25100</v>
      </c>
      <c r="D79" s="387">
        <v>25100</v>
      </c>
      <c r="E79" s="387">
        <v>0</v>
      </c>
      <c r="F79" s="387">
        <v>0</v>
      </c>
      <c r="G79" s="387">
        <v>0</v>
      </c>
      <c r="H79" s="387">
        <v>0</v>
      </c>
      <c r="I79" s="387">
        <v>25100</v>
      </c>
      <c r="J79" s="387">
        <v>25100</v>
      </c>
      <c r="K79" s="387">
        <v>25100</v>
      </c>
      <c r="L79" s="387">
        <v>0</v>
      </c>
      <c r="M79" s="387">
        <f t="shared" si="0"/>
        <v>25100</v>
      </c>
      <c r="N79" s="387" t="s">
        <v>344</v>
      </c>
      <c r="O79" s="387" t="s">
        <v>732</v>
      </c>
      <c r="P79" s="387">
        <v>100</v>
      </c>
      <c r="Q79" s="388">
        <v>36700.708333333336</v>
      </c>
      <c r="R79" s="389" t="s">
        <v>733</v>
      </c>
    </row>
    <row r="80" spans="1:18" ht="12.75" outlineLevel="4">
      <c r="A80" s="391" t="s">
        <v>38</v>
      </c>
      <c r="B80" s="392" t="s">
        <v>1582</v>
      </c>
      <c r="C80" s="382">
        <f>0+C81+C82</f>
        <v>61755.224609375</v>
      </c>
      <c r="D80" s="382">
        <f>0+D81+D82</f>
        <v>61755.224609375</v>
      </c>
      <c r="E80" s="382">
        <f>0+E81+E82</f>
        <v>0</v>
      </c>
      <c r="F80" s="382">
        <f>0+F81+F82</f>
        <v>0</v>
      </c>
      <c r="G80" s="382">
        <f>F80+E80</f>
        <v>0</v>
      </c>
      <c r="H80" s="382">
        <f>D80-C80</f>
        <v>0</v>
      </c>
      <c r="I80" s="382">
        <f>D80-E80</f>
        <v>61755.224609375</v>
      </c>
      <c r="J80" s="382">
        <f>+J81+J82</f>
        <v>60249</v>
      </c>
      <c r="K80" s="382">
        <f>+K81+K82</f>
        <v>61755.2235635519</v>
      </c>
      <c r="L80" s="382">
        <f>+L81+L82</f>
        <v>31005.22427880764</v>
      </c>
      <c r="M80" s="382">
        <f t="shared" si="0"/>
        <v>30749.999284744263</v>
      </c>
      <c r="N80" s="382" t="s">
        <v>742</v>
      </c>
      <c r="O80" s="382" t="s">
        <v>732</v>
      </c>
      <c r="P80" s="382">
        <v>100</v>
      </c>
      <c r="Q80" s="383">
        <v>37126.33361111111</v>
      </c>
      <c r="R80" s="384"/>
    </row>
    <row r="81" spans="1:18" ht="12.75" outlineLevel="5">
      <c r="A81" s="393" t="s">
        <v>40</v>
      </c>
      <c r="B81" s="394" t="s">
        <v>1583</v>
      </c>
      <c r="C81" s="387">
        <v>31005.224609375</v>
      </c>
      <c r="D81" s="387">
        <v>31005.224609375</v>
      </c>
      <c r="E81" s="387">
        <v>0</v>
      </c>
      <c r="F81" s="387">
        <v>0</v>
      </c>
      <c r="G81" s="387">
        <v>0</v>
      </c>
      <c r="H81" s="387">
        <v>0</v>
      </c>
      <c r="I81" s="387">
        <v>31005.224609375</v>
      </c>
      <c r="J81" s="387">
        <v>30249</v>
      </c>
      <c r="K81" s="387">
        <v>31005.22427880764</v>
      </c>
      <c r="L81" s="387">
        <v>31005.22427880764</v>
      </c>
      <c r="M81" s="387"/>
      <c r="N81" s="387" t="s">
        <v>344</v>
      </c>
      <c r="O81" s="387" t="s">
        <v>732</v>
      </c>
      <c r="P81" s="387">
        <v>100</v>
      </c>
      <c r="Q81" s="388">
        <v>37126.33361111111</v>
      </c>
      <c r="R81" s="395" t="s">
        <v>741</v>
      </c>
    </row>
    <row r="82" spans="1:18" ht="12.75" outlineLevel="5">
      <c r="A82" s="393" t="s">
        <v>42</v>
      </c>
      <c r="B82" s="394" t="s">
        <v>1584</v>
      </c>
      <c r="C82" s="387">
        <v>30750</v>
      </c>
      <c r="D82" s="387">
        <v>30750</v>
      </c>
      <c r="E82" s="387">
        <v>0</v>
      </c>
      <c r="F82" s="387">
        <v>0</v>
      </c>
      <c r="G82" s="387">
        <v>0</v>
      </c>
      <c r="H82" s="387">
        <v>0</v>
      </c>
      <c r="I82" s="387">
        <v>30750</v>
      </c>
      <c r="J82" s="387">
        <v>30000</v>
      </c>
      <c r="K82" s="387">
        <v>30749.999284744263</v>
      </c>
      <c r="L82" s="387">
        <v>0</v>
      </c>
      <c r="M82" s="387">
        <f>K82-L82</f>
        <v>30749.999284744263</v>
      </c>
      <c r="N82" s="387" t="s">
        <v>344</v>
      </c>
      <c r="O82" s="387" t="s">
        <v>732</v>
      </c>
      <c r="P82" s="387">
        <v>100</v>
      </c>
      <c r="Q82" s="388">
        <v>36942.708333333336</v>
      </c>
      <c r="R82" s="389" t="s">
        <v>733</v>
      </c>
    </row>
    <row r="83" spans="1:18" ht="12.75" outlineLevel="4">
      <c r="A83" s="391" t="s">
        <v>44</v>
      </c>
      <c r="B83" s="392" t="s">
        <v>1585</v>
      </c>
      <c r="C83" s="382">
        <f>0+C84+C85</f>
        <v>44463.763671875</v>
      </c>
      <c r="D83" s="382">
        <f>0+D84+D85</f>
        <v>0</v>
      </c>
      <c r="E83" s="382">
        <f>0+E84+E85</f>
        <v>0</v>
      </c>
      <c r="F83" s="382">
        <f>0+F84+F85</f>
        <v>0</v>
      </c>
      <c r="G83" s="382">
        <f>F83+E83</f>
        <v>0</v>
      </c>
      <c r="H83" s="382">
        <f>D83-C83</f>
        <v>-44463.763671875</v>
      </c>
      <c r="I83" s="382">
        <f>D83-E83</f>
        <v>0</v>
      </c>
      <c r="J83" s="382">
        <f>+J84+J85</f>
        <v>42280</v>
      </c>
      <c r="K83" s="382">
        <f>+K84+K85</f>
        <v>44463.763999938965</v>
      </c>
      <c r="L83" s="382">
        <f>+L84+L85</f>
        <v>44463.763999938965</v>
      </c>
      <c r="M83" s="382">
        <f>K83-L83</f>
        <v>0</v>
      </c>
      <c r="N83" s="382" t="s">
        <v>742</v>
      </c>
      <c r="O83" s="382" t="s">
        <v>732</v>
      </c>
      <c r="P83" s="382">
        <v>95</v>
      </c>
      <c r="Q83" s="383">
        <v>37483.708333333336</v>
      </c>
      <c r="R83" s="384"/>
    </row>
    <row r="84" spans="1:18" ht="12.75" outlineLevel="5">
      <c r="A84" s="393" t="s">
        <v>46</v>
      </c>
      <c r="B84" s="394" t="s">
        <v>1583</v>
      </c>
      <c r="C84" s="387">
        <v>22379.11328125</v>
      </c>
      <c r="D84" s="387">
        <v>0</v>
      </c>
      <c r="E84" s="387">
        <v>0</v>
      </c>
      <c r="F84" s="387">
        <v>0</v>
      </c>
      <c r="G84" s="387">
        <v>0</v>
      </c>
      <c r="H84" s="387">
        <v>-22379.11328125</v>
      </c>
      <c r="I84" s="387">
        <v>0</v>
      </c>
      <c r="J84" s="387">
        <v>21280</v>
      </c>
      <c r="K84" s="387">
        <v>22379.113006591797</v>
      </c>
      <c r="L84" s="387">
        <v>22379.113006591797</v>
      </c>
      <c r="M84" s="387"/>
      <c r="N84" s="387" t="s">
        <v>344</v>
      </c>
      <c r="O84" s="387" t="s">
        <v>732</v>
      </c>
      <c r="P84" s="387">
        <v>95</v>
      </c>
      <c r="Q84" s="388">
        <v>37483.708333333336</v>
      </c>
      <c r="R84" s="390"/>
    </row>
    <row r="85" spans="1:18" ht="12.75" outlineLevel="5">
      <c r="A85" s="393" t="s">
        <v>47</v>
      </c>
      <c r="B85" s="394" t="s">
        <v>1584</v>
      </c>
      <c r="C85" s="387">
        <v>22084.650390625</v>
      </c>
      <c r="D85" s="387">
        <v>0</v>
      </c>
      <c r="E85" s="387">
        <v>0</v>
      </c>
      <c r="F85" s="387">
        <v>0</v>
      </c>
      <c r="G85" s="387">
        <v>0</v>
      </c>
      <c r="H85" s="387">
        <v>-22084.650390625</v>
      </c>
      <c r="I85" s="387">
        <v>0</v>
      </c>
      <c r="J85" s="387">
        <v>21000</v>
      </c>
      <c r="K85" s="387">
        <v>22084.650993347168</v>
      </c>
      <c r="L85" s="387">
        <v>22084.650993347168</v>
      </c>
      <c r="M85" s="387"/>
      <c r="N85" s="387" t="s">
        <v>344</v>
      </c>
      <c r="O85" s="387" t="s">
        <v>732</v>
      </c>
      <c r="P85" s="387">
        <v>95</v>
      </c>
      <c r="Q85" s="388">
        <v>37427.708333333336</v>
      </c>
      <c r="R85" s="390"/>
    </row>
    <row r="86" spans="1:18" ht="12.75" outlineLevel="4">
      <c r="A86" s="391" t="s">
        <v>48</v>
      </c>
      <c r="B86" s="392" t="s">
        <v>1586</v>
      </c>
      <c r="C86" s="382">
        <f>0+C87+C88+C89+C90</f>
        <v>0</v>
      </c>
      <c r="D86" s="382">
        <f>0+D87+D88+D89+D90</f>
        <v>0</v>
      </c>
      <c r="E86" s="382">
        <f>0+E87+E88+E89+E90</f>
        <v>0</v>
      </c>
      <c r="F86" s="382">
        <f>0+F87+F88+F89+F90</f>
        <v>0</v>
      </c>
      <c r="G86" s="382">
        <f>F86+E86</f>
        <v>0</v>
      </c>
      <c r="H86" s="382">
        <f>D86-C86</f>
        <v>0</v>
      </c>
      <c r="I86" s="382">
        <f>D86-E86</f>
        <v>0</v>
      </c>
      <c r="J86" s="382">
        <f>+J87+J88+J89+J90</f>
        <v>34648</v>
      </c>
      <c r="K86" s="382">
        <f>+K87+K88+K89+K90</f>
        <v>37202.76197433472</v>
      </c>
      <c r="L86" s="382">
        <f>+L87+L88+L89+L90</f>
        <v>37202.76197433472</v>
      </c>
      <c r="M86" s="382">
        <f>K86-L86</f>
        <v>0</v>
      </c>
      <c r="N86" s="382" t="s">
        <v>742</v>
      </c>
      <c r="O86" s="382" t="s">
        <v>732</v>
      </c>
      <c r="P86" s="382">
        <v>0</v>
      </c>
      <c r="Q86" s="383">
        <v>37862.708333333336</v>
      </c>
      <c r="R86" s="384"/>
    </row>
    <row r="87" spans="1:18" ht="12.75" outlineLevel="5">
      <c r="A87" s="393" t="s">
        <v>50</v>
      </c>
      <c r="B87" s="394" t="s">
        <v>1587</v>
      </c>
      <c r="C87" s="387">
        <v>0</v>
      </c>
      <c r="D87" s="387">
        <v>0</v>
      </c>
      <c r="E87" s="387">
        <v>0</v>
      </c>
      <c r="F87" s="387">
        <v>0</v>
      </c>
      <c r="G87" s="387">
        <v>0</v>
      </c>
      <c r="H87" s="387">
        <v>0</v>
      </c>
      <c r="I87" s="387">
        <v>0</v>
      </c>
      <c r="J87" s="387">
        <v>9000</v>
      </c>
      <c r="K87" s="387">
        <v>9663.612842559814</v>
      </c>
      <c r="L87" s="387">
        <v>9663.612842559814</v>
      </c>
      <c r="M87" s="387"/>
      <c r="N87" s="387" t="s">
        <v>344</v>
      </c>
      <c r="O87" s="387" t="s">
        <v>732</v>
      </c>
      <c r="P87" s="387">
        <v>0</v>
      </c>
      <c r="Q87" s="388">
        <v>37792.708333333336</v>
      </c>
      <c r="R87" s="390"/>
    </row>
    <row r="88" spans="1:18" ht="12.75" outlineLevel="5">
      <c r="A88" s="393" t="s">
        <v>51</v>
      </c>
      <c r="B88" s="394" t="s">
        <v>1588</v>
      </c>
      <c r="C88" s="387">
        <v>0</v>
      </c>
      <c r="D88" s="387">
        <v>0</v>
      </c>
      <c r="E88" s="387">
        <v>0</v>
      </c>
      <c r="F88" s="387">
        <v>0</v>
      </c>
      <c r="G88" s="387">
        <v>0</v>
      </c>
      <c r="H88" s="387">
        <v>0</v>
      </c>
      <c r="I88" s="387">
        <v>0</v>
      </c>
      <c r="J88" s="387">
        <v>25648</v>
      </c>
      <c r="K88" s="387">
        <v>27539.149131774902</v>
      </c>
      <c r="L88" s="387">
        <v>27539.149131774902</v>
      </c>
      <c r="M88" s="387"/>
      <c r="N88" s="387" t="s">
        <v>344</v>
      </c>
      <c r="O88" s="387" t="s">
        <v>732</v>
      </c>
      <c r="P88" s="387">
        <v>0</v>
      </c>
      <c r="Q88" s="388">
        <v>37848.708333333336</v>
      </c>
      <c r="R88" s="390"/>
    </row>
    <row r="89" spans="1:18" ht="12.75" outlineLevel="5">
      <c r="A89" s="393" t="s">
        <v>53</v>
      </c>
      <c r="B89" s="394" t="s">
        <v>1589</v>
      </c>
      <c r="C89" s="387">
        <v>0</v>
      </c>
      <c r="D89" s="387">
        <v>0</v>
      </c>
      <c r="E89" s="387">
        <v>0</v>
      </c>
      <c r="F89" s="387">
        <v>0</v>
      </c>
      <c r="G89" s="387">
        <v>0</v>
      </c>
      <c r="H89" s="387">
        <v>0</v>
      </c>
      <c r="I89" s="387">
        <v>0</v>
      </c>
      <c r="J89" s="387">
        <v>0</v>
      </c>
      <c r="K89" s="387">
        <v>0</v>
      </c>
      <c r="L89" s="387">
        <v>0</v>
      </c>
      <c r="M89" s="387"/>
      <c r="N89" s="387" t="s">
        <v>344</v>
      </c>
      <c r="O89" s="387" t="s">
        <v>732</v>
      </c>
      <c r="P89" s="387">
        <v>0</v>
      </c>
      <c r="Q89" s="388">
        <v>37862.708333333336</v>
      </c>
      <c r="R89" s="390"/>
    </row>
    <row r="90" spans="1:18" ht="12.75" outlineLevel="5">
      <c r="A90" s="393" t="s">
        <v>55</v>
      </c>
      <c r="B90" s="394" t="s">
        <v>1795</v>
      </c>
      <c r="C90" s="387">
        <v>0</v>
      </c>
      <c r="D90" s="387">
        <v>0</v>
      </c>
      <c r="E90" s="387">
        <v>0</v>
      </c>
      <c r="F90" s="387">
        <v>0</v>
      </c>
      <c r="G90" s="387">
        <v>0</v>
      </c>
      <c r="H90" s="387">
        <v>0</v>
      </c>
      <c r="I90" s="387">
        <v>0</v>
      </c>
      <c r="J90" s="387">
        <v>0</v>
      </c>
      <c r="K90" s="387">
        <v>0</v>
      </c>
      <c r="L90" s="387">
        <v>0</v>
      </c>
      <c r="M90" s="387"/>
      <c r="N90" s="387" t="s">
        <v>344</v>
      </c>
      <c r="O90" s="387" t="s">
        <v>732</v>
      </c>
      <c r="P90" s="387">
        <v>0</v>
      </c>
      <c r="Q90" s="388">
        <v>37729.708333333336</v>
      </c>
      <c r="R90" s="390"/>
    </row>
    <row r="91" spans="1:18" ht="12.75" outlineLevel="3">
      <c r="A91" s="380" t="s">
        <v>56</v>
      </c>
      <c r="B91" s="381" t="s">
        <v>57</v>
      </c>
      <c r="C91" s="382">
        <f>0+C92+C98+C103+C106+C112+C113+C114+C115+C116+C117+C118+C119+C120</f>
        <v>358946.33203125</v>
      </c>
      <c r="D91" s="382">
        <f>0+D92+D98+D103+D106+D112+D113+D114+D115+D116+D117+D118+D119+D120</f>
        <v>311629.744140625</v>
      </c>
      <c r="E91" s="382">
        <f>0+E92+E98+E103+E106+E112+E113+E114+E115+E116+E117+E118+E119+E120</f>
        <v>182219.12866210938</v>
      </c>
      <c r="F91" s="382">
        <f>0+F92+F98+F103+F106+F112+F113+F114+F115+F116+F117+F118+F119+F120</f>
        <v>80354.52</v>
      </c>
      <c r="G91" s="382">
        <f>F91+E91</f>
        <v>262573.6486621094</v>
      </c>
      <c r="H91" s="382">
        <f>D91-C91</f>
        <v>-47316.587890625</v>
      </c>
      <c r="I91" s="382">
        <f>D91-E91</f>
        <v>129410.61547851562</v>
      </c>
      <c r="J91" s="382">
        <f>+J92+J98+J103+J106+J112+J113+J114+J115+J116+J117+J118+J119+J120</f>
        <v>355782.32</v>
      </c>
      <c r="K91" s="382">
        <f>+K92+K98+K103+K106+K112+K113+K114+K115+K116+K117+K118+K119+K120</f>
        <v>362295.10854966164</v>
      </c>
      <c r="L91" s="382">
        <f>+L92+L98+L103+L106+L112+L113+L114+L115+L116+L117+L118+L119+L120</f>
        <v>290014.58927268983</v>
      </c>
      <c r="M91" s="382">
        <f aca="true" t="shared" si="1" ref="M91:M103">K91-L91</f>
        <v>72280.51927697181</v>
      </c>
      <c r="N91" s="382" t="s">
        <v>768</v>
      </c>
      <c r="O91" s="382" t="s">
        <v>732</v>
      </c>
      <c r="P91" s="382">
        <v>91</v>
      </c>
      <c r="Q91" s="383">
        <v>38072.5</v>
      </c>
      <c r="R91" s="384"/>
    </row>
    <row r="92" spans="1:18" ht="12.75" outlineLevel="4">
      <c r="A92" s="391" t="s">
        <v>58</v>
      </c>
      <c r="B92" s="392" t="s">
        <v>59</v>
      </c>
      <c r="C92" s="382">
        <f>0+C93+C94+C95+C96+C97</f>
        <v>79559.37109375</v>
      </c>
      <c r="D92" s="382">
        <f>0+D93+D94+D95+D96+D97</f>
        <v>79559.37109375</v>
      </c>
      <c r="E92" s="382">
        <f>0+E93+E94+E95+E96+E97</f>
        <v>68922.18920898438</v>
      </c>
      <c r="F92" s="382">
        <f>0+F93+F94+F95+F96+F97</f>
        <v>4962.1</v>
      </c>
      <c r="G92" s="382">
        <f>F92+E92</f>
        <v>73884.28920898438</v>
      </c>
      <c r="H92" s="382">
        <f>D92-C92</f>
        <v>0</v>
      </c>
      <c r="I92" s="382">
        <f>D92-E92</f>
        <v>10637.181884765625</v>
      </c>
      <c r="J92" s="382">
        <f>+J93+J94+J95+J96+J97</f>
        <v>79264.12</v>
      </c>
      <c r="K92" s="382">
        <f>+K93+K94+K95+K96+K97</f>
        <v>79559.36971842765</v>
      </c>
      <c r="L92" s="382">
        <f>0+L93+L94+L95+L96+L97</f>
        <v>68922.18920898438</v>
      </c>
      <c r="M92" s="382">
        <f t="shared" si="1"/>
        <v>10637.180509443278</v>
      </c>
      <c r="N92" s="382" t="s">
        <v>768</v>
      </c>
      <c r="O92" s="382" t="s">
        <v>732</v>
      </c>
      <c r="P92" s="382">
        <v>100</v>
      </c>
      <c r="Q92" s="383">
        <v>36839.708333333336</v>
      </c>
      <c r="R92" s="384"/>
    </row>
    <row r="93" spans="1:18" ht="12.75" outlineLevel="5">
      <c r="A93" s="393" t="s">
        <v>60</v>
      </c>
      <c r="B93" s="394" t="s">
        <v>61</v>
      </c>
      <c r="C93" s="387">
        <v>63072.12109375</v>
      </c>
      <c r="D93" s="387">
        <v>63072.12109375</v>
      </c>
      <c r="E93" s="387">
        <v>57767.44921875</v>
      </c>
      <c r="F93" s="387">
        <v>2304.29</v>
      </c>
      <c r="G93" s="387">
        <v>60071.73921875</v>
      </c>
      <c r="H93" s="387">
        <v>0</v>
      </c>
      <c r="I93" s="387">
        <v>5304.671875</v>
      </c>
      <c r="J93" s="387">
        <v>63072.12</v>
      </c>
      <c r="K93" s="387">
        <v>63072.12</v>
      </c>
      <c r="L93" s="387">
        <v>57767.44921875</v>
      </c>
      <c r="M93" s="387">
        <f t="shared" si="1"/>
        <v>5304.670781250003</v>
      </c>
      <c r="N93" s="387" t="s">
        <v>736</v>
      </c>
      <c r="O93" s="387" t="s">
        <v>732</v>
      </c>
      <c r="P93" s="387">
        <v>100</v>
      </c>
      <c r="Q93" s="388">
        <v>36742.708333333336</v>
      </c>
      <c r="R93" s="389" t="s">
        <v>733</v>
      </c>
    </row>
    <row r="94" spans="1:18" ht="12.75" outlineLevel="5">
      <c r="A94" s="393" t="s">
        <v>62</v>
      </c>
      <c r="B94" s="394" t="s">
        <v>63</v>
      </c>
      <c r="C94" s="387">
        <v>4382</v>
      </c>
      <c r="D94" s="387">
        <v>4382</v>
      </c>
      <c r="E94" s="387">
        <v>3072.239990234375</v>
      </c>
      <c r="F94" s="387">
        <v>914.16</v>
      </c>
      <c r="G94" s="387">
        <v>3986.399990234375</v>
      </c>
      <c r="H94" s="387">
        <v>0</v>
      </c>
      <c r="I94" s="387">
        <v>1309.760009765625</v>
      </c>
      <c r="J94" s="387">
        <v>4382</v>
      </c>
      <c r="K94" s="387">
        <v>4382</v>
      </c>
      <c r="L94" s="387">
        <v>3072.239990234375</v>
      </c>
      <c r="M94" s="387">
        <f t="shared" si="1"/>
        <v>1309.760009765625</v>
      </c>
      <c r="N94" s="387" t="s">
        <v>736</v>
      </c>
      <c r="O94" s="387" t="s">
        <v>732</v>
      </c>
      <c r="P94" s="387">
        <v>100</v>
      </c>
      <c r="Q94" s="388">
        <v>36755.708333333336</v>
      </c>
      <c r="R94" s="389" t="s">
        <v>733</v>
      </c>
    </row>
    <row r="95" spans="1:18" ht="12.75" outlineLevel="5">
      <c r="A95" s="393" t="s">
        <v>1590</v>
      </c>
      <c r="B95" s="394" t="s">
        <v>1591</v>
      </c>
      <c r="C95" s="387">
        <v>0</v>
      </c>
      <c r="D95" s="387">
        <v>0</v>
      </c>
      <c r="E95" s="387">
        <v>0</v>
      </c>
      <c r="F95" s="387">
        <v>0</v>
      </c>
      <c r="G95" s="387">
        <v>0</v>
      </c>
      <c r="H95" s="387">
        <v>0</v>
      </c>
      <c r="I95" s="387">
        <v>0</v>
      </c>
      <c r="J95" s="387">
        <v>0</v>
      </c>
      <c r="K95" s="387">
        <v>0</v>
      </c>
      <c r="L95" s="387">
        <v>0</v>
      </c>
      <c r="M95" s="387">
        <f t="shared" si="1"/>
        <v>0</v>
      </c>
      <c r="N95" s="387" t="s">
        <v>736</v>
      </c>
      <c r="O95" s="387" t="s">
        <v>732</v>
      </c>
      <c r="P95" s="387">
        <v>100</v>
      </c>
      <c r="Q95" s="388">
        <v>36783.708333333336</v>
      </c>
      <c r="R95" s="389" t="s">
        <v>733</v>
      </c>
    </row>
    <row r="96" spans="1:18" ht="12.75" outlineLevel="5">
      <c r="A96" s="393" t="s">
        <v>1592</v>
      </c>
      <c r="B96" s="394" t="s">
        <v>1593</v>
      </c>
      <c r="C96" s="387">
        <v>0</v>
      </c>
      <c r="D96" s="387">
        <v>0</v>
      </c>
      <c r="E96" s="387">
        <v>0</v>
      </c>
      <c r="F96" s="387">
        <v>0</v>
      </c>
      <c r="G96" s="387">
        <v>0</v>
      </c>
      <c r="H96" s="387">
        <v>0</v>
      </c>
      <c r="I96" s="387">
        <v>0</v>
      </c>
      <c r="J96" s="387">
        <v>0</v>
      </c>
      <c r="K96" s="387">
        <v>0</v>
      </c>
      <c r="L96" s="387">
        <v>0</v>
      </c>
      <c r="M96" s="387">
        <f t="shared" si="1"/>
        <v>0</v>
      </c>
      <c r="N96" s="387" t="s">
        <v>736</v>
      </c>
      <c r="O96" s="387" t="s">
        <v>732</v>
      </c>
      <c r="P96" s="387">
        <v>100</v>
      </c>
      <c r="Q96" s="388">
        <v>36811.708333333336</v>
      </c>
      <c r="R96" s="389" t="s">
        <v>733</v>
      </c>
    </row>
    <row r="97" spans="1:18" ht="12.75" outlineLevel="5">
      <c r="A97" s="393" t="s">
        <v>64</v>
      </c>
      <c r="B97" s="394" t="s">
        <v>65</v>
      </c>
      <c r="C97" s="387">
        <v>12105.25</v>
      </c>
      <c r="D97" s="387">
        <v>12105.25</v>
      </c>
      <c r="E97" s="387">
        <v>8082.5</v>
      </c>
      <c r="F97" s="387">
        <v>1743.65</v>
      </c>
      <c r="G97" s="387">
        <v>9826.15</v>
      </c>
      <c r="H97" s="387">
        <v>0</v>
      </c>
      <c r="I97" s="387">
        <v>4022.75</v>
      </c>
      <c r="J97" s="387">
        <v>11810</v>
      </c>
      <c r="K97" s="387">
        <v>12105.249718427658</v>
      </c>
      <c r="L97" s="387">
        <v>8082.5</v>
      </c>
      <c r="M97" s="387">
        <f t="shared" si="1"/>
        <v>4022.749718427658</v>
      </c>
      <c r="N97" s="387" t="s">
        <v>736</v>
      </c>
      <c r="O97" s="387" t="s">
        <v>732</v>
      </c>
      <c r="P97" s="387">
        <v>100</v>
      </c>
      <c r="Q97" s="388">
        <v>36839.708333333336</v>
      </c>
      <c r="R97" s="389" t="s">
        <v>733</v>
      </c>
    </row>
    <row r="98" spans="1:18" ht="12.75" outlineLevel="4">
      <c r="A98" s="391" t="s">
        <v>66</v>
      </c>
      <c r="B98" s="392" t="s">
        <v>67</v>
      </c>
      <c r="C98" s="382">
        <f>0+C99+C100+C101+C102</f>
        <v>64359</v>
      </c>
      <c r="D98" s="382">
        <f>0+D99+D100+D101+D102</f>
        <v>64359</v>
      </c>
      <c r="E98" s="382">
        <f>0+E99+E100+E101+E102</f>
        <v>48024.16015625</v>
      </c>
      <c r="F98" s="382">
        <f>0+F99+F100+F101+F102</f>
        <v>18876.99</v>
      </c>
      <c r="G98" s="382">
        <f>F98+E98</f>
        <v>66901.15015625</v>
      </c>
      <c r="H98" s="382">
        <f>D98-C98</f>
        <v>0</v>
      </c>
      <c r="I98" s="382">
        <f>D98-E98</f>
        <v>16334.83984375</v>
      </c>
      <c r="J98" s="382">
        <f>+J99+J100+J101+J102</f>
        <v>64359</v>
      </c>
      <c r="K98" s="382">
        <f>+K99+K100+K101+K102</f>
        <v>64359</v>
      </c>
      <c r="L98" s="382">
        <f>0+L99+L100+L101+L102</f>
        <v>48024.16015625</v>
      </c>
      <c r="M98" s="382">
        <f t="shared" si="1"/>
        <v>16334.83984375</v>
      </c>
      <c r="N98" s="382" t="s">
        <v>768</v>
      </c>
      <c r="O98" s="382" t="s">
        <v>732</v>
      </c>
      <c r="P98" s="382">
        <v>100</v>
      </c>
      <c r="Q98" s="383">
        <v>36811.708333333336</v>
      </c>
      <c r="R98" s="384"/>
    </row>
    <row r="99" spans="1:18" ht="12.75" outlineLevel="5">
      <c r="A99" s="393" t="s">
        <v>68</v>
      </c>
      <c r="B99" s="394" t="s">
        <v>69</v>
      </c>
      <c r="C99" s="387">
        <v>50184</v>
      </c>
      <c r="D99" s="387">
        <v>50184</v>
      </c>
      <c r="E99" s="387">
        <v>36745.5</v>
      </c>
      <c r="F99" s="387">
        <v>17375.54</v>
      </c>
      <c r="G99" s="387">
        <v>54121.04</v>
      </c>
      <c r="H99" s="387">
        <v>0</v>
      </c>
      <c r="I99" s="387">
        <v>13438.5</v>
      </c>
      <c r="J99" s="387">
        <v>50184</v>
      </c>
      <c r="K99" s="387">
        <v>50184</v>
      </c>
      <c r="L99" s="387">
        <v>36745.5</v>
      </c>
      <c r="M99" s="387">
        <f t="shared" si="1"/>
        <v>13438.5</v>
      </c>
      <c r="N99" s="387" t="s">
        <v>736</v>
      </c>
      <c r="O99" s="387" t="s">
        <v>732</v>
      </c>
      <c r="P99" s="387">
        <v>100</v>
      </c>
      <c r="Q99" s="388">
        <v>36727.708333333336</v>
      </c>
      <c r="R99" s="389" t="s">
        <v>733</v>
      </c>
    </row>
    <row r="100" spans="1:18" ht="12.75" outlineLevel="5">
      <c r="A100" s="393" t="s">
        <v>70</v>
      </c>
      <c r="B100" s="394" t="s">
        <v>71</v>
      </c>
      <c r="C100" s="387">
        <v>14175</v>
      </c>
      <c r="D100" s="387">
        <v>14175</v>
      </c>
      <c r="E100" s="387">
        <v>11278.66015625</v>
      </c>
      <c r="F100" s="387">
        <v>1501.45</v>
      </c>
      <c r="G100" s="387">
        <v>12780.11015625</v>
      </c>
      <c r="H100" s="387">
        <v>0</v>
      </c>
      <c r="I100" s="387">
        <v>2896.33984375</v>
      </c>
      <c r="J100" s="387">
        <v>14175</v>
      </c>
      <c r="K100" s="387">
        <v>14175</v>
      </c>
      <c r="L100" s="387">
        <v>11278.66015625</v>
      </c>
      <c r="M100" s="387">
        <f t="shared" si="1"/>
        <v>2896.33984375</v>
      </c>
      <c r="N100" s="387" t="s">
        <v>736</v>
      </c>
      <c r="O100" s="387" t="s">
        <v>732</v>
      </c>
      <c r="P100" s="387">
        <v>100</v>
      </c>
      <c r="Q100" s="388">
        <v>36755.708333333336</v>
      </c>
      <c r="R100" s="389" t="s">
        <v>733</v>
      </c>
    </row>
    <row r="101" spans="1:18" ht="12.75" outlineLevel="5">
      <c r="A101" s="393" t="s">
        <v>1594</v>
      </c>
      <c r="B101" s="394" t="s">
        <v>1595</v>
      </c>
      <c r="C101" s="387">
        <v>0</v>
      </c>
      <c r="D101" s="387">
        <v>0</v>
      </c>
      <c r="E101" s="387">
        <v>0</v>
      </c>
      <c r="F101" s="387">
        <v>0</v>
      </c>
      <c r="G101" s="387">
        <v>0</v>
      </c>
      <c r="H101" s="387">
        <v>0</v>
      </c>
      <c r="I101" s="387">
        <v>0</v>
      </c>
      <c r="J101" s="387">
        <v>0</v>
      </c>
      <c r="K101" s="387">
        <v>0</v>
      </c>
      <c r="L101" s="387">
        <v>0</v>
      </c>
      <c r="M101" s="387">
        <f t="shared" si="1"/>
        <v>0</v>
      </c>
      <c r="N101" s="387" t="s">
        <v>736</v>
      </c>
      <c r="O101" s="387" t="s">
        <v>732</v>
      </c>
      <c r="P101" s="387">
        <v>100</v>
      </c>
      <c r="Q101" s="388">
        <v>36783.708333333336</v>
      </c>
      <c r="R101" s="389" t="s">
        <v>733</v>
      </c>
    </row>
    <row r="102" spans="1:18" ht="12.75" outlineLevel="5">
      <c r="A102" s="393" t="s">
        <v>1596</v>
      </c>
      <c r="B102" s="394" t="s">
        <v>73</v>
      </c>
      <c r="C102" s="387">
        <v>0</v>
      </c>
      <c r="D102" s="387">
        <v>0</v>
      </c>
      <c r="E102" s="387">
        <v>0</v>
      </c>
      <c r="F102" s="387">
        <v>0</v>
      </c>
      <c r="G102" s="387">
        <v>0</v>
      </c>
      <c r="H102" s="387">
        <v>0</v>
      </c>
      <c r="I102" s="387">
        <v>0</v>
      </c>
      <c r="J102" s="387">
        <v>0</v>
      </c>
      <c r="K102" s="387">
        <v>0</v>
      </c>
      <c r="L102" s="387">
        <v>0</v>
      </c>
      <c r="M102" s="387">
        <f t="shared" si="1"/>
        <v>0</v>
      </c>
      <c r="N102" s="387" t="s">
        <v>736</v>
      </c>
      <c r="O102" s="387" t="s">
        <v>732</v>
      </c>
      <c r="P102" s="387">
        <v>100</v>
      </c>
      <c r="Q102" s="388">
        <v>36811.708333333336</v>
      </c>
      <c r="R102" s="389" t="s">
        <v>733</v>
      </c>
    </row>
    <row r="103" spans="1:18" ht="12.75" outlineLevel="4">
      <c r="A103" s="391" t="s">
        <v>74</v>
      </c>
      <c r="B103" s="392" t="s">
        <v>75</v>
      </c>
      <c r="C103" s="382">
        <f>0+C104+C105</f>
        <v>47891.87890625</v>
      </c>
      <c r="D103" s="382">
        <f>0+D104+D105</f>
        <v>43313.505859375</v>
      </c>
      <c r="E103" s="382">
        <f>0+E104+E105</f>
        <v>28028.2392578125</v>
      </c>
      <c r="F103" s="382">
        <f>0+F104+F105</f>
        <v>4811.97</v>
      </c>
      <c r="G103" s="382">
        <f>F103+E103</f>
        <v>32840.2092578125</v>
      </c>
      <c r="H103" s="382">
        <f>D103-C103</f>
        <v>-4578.373046875</v>
      </c>
      <c r="I103" s="382">
        <f>D103-E103</f>
        <v>15285.2666015625</v>
      </c>
      <c r="J103" s="382">
        <f>+J104+J105</f>
        <v>47831.2</v>
      </c>
      <c r="K103" s="382">
        <f>+K104+K105</f>
        <v>47891.880103778836</v>
      </c>
      <c r="L103" s="382">
        <f>+L104+L105</f>
        <v>47891.880103778836</v>
      </c>
      <c r="M103" s="382">
        <f t="shared" si="1"/>
        <v>0</v>
      </c>
      <c r="N103" s="382" t="s">
        <v>770</v>
      </c>
      <c r="O103" s="382" t="s">
        <v>732</v>
      </c>
      <c r="P103" s="382">
        <v>82</v>
      </c>
      <c r="Q103" s="383">
        <v>38072.5</v>
      </c>
      <c r="R103" s="384"/>
    </row>
    <row r="104" spans="1:18" ht="12.75" outlineLevel="5">
      <c r="A104" s="393" t="s">
        <v>76</v>
      </c>
      <c r="B104" s="394" t="s">
        <v>75</v>
      </c>
      <c r="C104" s="387">
        <v>25000</v>
      </c>
      <c r="D104" s="387">
        <v>25000</v>
      </c>
      <c r="E104" s="387">
        <v>15909.1396484375</v>
      </c>
      <c r="F104" s="387">
        <v>89.97</v>
      </c>
      <c r="G104" s="387">
        <v>15999.1096484375</v>
      </c>
      <c r="H104" s="387">
        <v>0</v>
      </c>
      <c r="I104" s="387">
        <v>9090.8603515625</v>
      </c>
      <c r="J104" s="387">
        <v>25000</v>
      </c>
      <c r="K104" s="387">
        <v>25000</v>
      </c>
      <c r="L104" s="387">
        <v>25000</v>
      </c>
      <c r="M104" s="387"/>
      <c r="N104" s="387" t="s">
        <v>737</v>
      </c>
      <c r="O104" s="387" t="s">
        <v>732</v>
      </c>
      <c r="P104" s="387">
        <v>90</v>
      </c>
      <c r="Q104" s="388">
        <v>38072.5</v>
      </c>
      <c r="R104" s="390"/>
    </row>
    <row r="105" spans="1:18" ht="12.75" outlineLevel="5">
      <c r="A105" s="393" t="s">
        <v>77</v>
      </c>
      <c r="B105" s="394" t="s">
        <v>78</v>
      </c>
      <c r="C105" s="387">
        <v>22891.87890625</v>
      </c>
      <c r="D105" s="387">
        <v>18313.505859375</v>
      </c>
      <c r="E105" s="387">
        <v>12119.099609375</v>
      </c>
      <c r="F105" s="387">
        <v>4722</v>
      </c>
      <c r="G105" s="387">
        <v>16841.099609375</v>
      </c>
      <c r="H105" s="387">
        <v>-4578.373046875</v>
      </c>
      <c r="I105" s="387">
        <v>6194.40625</v>
      </c>
      <c r="J105" s="387">
        <v>22831.2</v>
      </c>
      <c r="K105" s="387">
        <v>22891.88010377884</v>
      </c>
      <c r="L105" s="387">
        <v>22891.88010377884</v>
      </c>
      <c r="M105" s="387"/>
      <c r="N105" s="387" t="s">
        <v>737</v>
      </c>
      <c r="O105" s="387" t="s">
        <v>732</v>
      </c>
      <c r="P105" s="387">
        <v>80</v>
      </c>
      <c r="Q105" s="388">
        <v>36832.708333333336</v>
      </c>
      <c r="R105" s="390"/>
    </row>
    <row r="106" spans="1:18" ht="12.75" outlineLevel="4">
      <c r="A106" s="391" t="s">
        <v>79</v>
      </c>
      <c r="B106" s="392" t="s">
        <v>1597</v>
      </c>
      <c r="C106" s="382">
        <f>0+C107+C108+C109+C110</f>
        <v>23640</v>
      </c>
      <c r="D106" s="382">
        <f>0+D107+D108+D109+D110</f>
        <v>23640</v>
      </c>
      <c r="E106" s="382">
        <f>0+E107+E108+E109+E110</f>
        <v>0</v>
      </c>
      <c r="F106" s="382">
        <f>0+F107+F108+F109+F110</f>
        <v>0</v>
      </c>
      <c r="G106" s="382">
        <f>F106+E106</f>
        <v>0</v>
      </c>
      <c r="H106" s="382">
        <f>D106-C106</f>
        <v>0</v>
      </c>
      <c r="I106" s="382">
        <f>D106-E106</f>
        <v>23640</v>
      </c>
      <c r="J106" s="382">
        <f>+J107+J108+J109+J110</f>
        <v>23640</v>
      </c>
      <c r="K106" s="382">
        <f>+K107+K108+K109+K110</f>
        <v>23640</v>
      </c>
      <c r="L106" s="382">
        <f>0+L107+L108+L109+L110</f>
        <v>0</v>
      </c>
      <c r="M106" s="382">
        <f>K106-L106</f>
        <v>23640</v>
      </c>
      <c r="N106" s="382" t="s">
        <v>742</v>
      </c>
      <c r="O106" s="382" t="s">
        <v>732</v>
      </c>
      <c r="P106" s="382">
        <v>75</v>
      </c>
      <c r="Q106" s="383">
        <v>36671.708333333336</v>
      </c>
      <c r="R106" s="384"/>
    </row>
    <row r="107" spans="1:18" ht="12.75" outlineLevel="5">
      <c r="A107" s="393" t="s">
        <v>81</v>
      </c>
      <c r="B107" s="394" t="s">
        <v>1598</v>
      </c>
      <c r="C107" s="387">
        <v>21140</v>
      </c>
      <c r="D107" s="387">
        <v>21140</v>
      </c>
      <c r="E107" s="387">
        <v>0</v>
      </c>
      <c r="F107" s="387">
        <v>0</v>
      </c>
      <c r="G107" s="387">
        <v>0</v>
      </c>
      <c r="H107" s="387">
        <v>0</v>
      </c>
      <c r="I107" s="387">
        <v>21140</v>
      </c>
      <c r="J107" s="387">
        <v>21140</v>
      </c>
      <c r="K107" s="387">
        <v>21140</v>
      </c>
      <c r="L107" s="387">
        <v>0</v>
      </c>
      <c r="M107" s="387">
        <f>K107-L107</f>
        <v>21140</v>
      </c>
      <c r="N107" s="387" t="s">
        <v>344</v>
      </c>
      <c r="O107" s="387" t="s">
        <v>732</v>
      </c>
      <c r="P107" s="387">
        <v>100</v>
      </c>
      <c r="Q107" s="388">
        <v>36587.708333333336</v>
      </c>
      <c r="R107" s="389" t="s">
        <v>733</v>
      </c>
    </row>
    <row r="108" spans="1:18" ht="12.75" outlineLevel="5">
      <c r="A108" s="393" t="s">
        <v>83</v>
      </c>
      <c r="B108" s="394" t="s">
        <v>1599</v>
      </c>
      <c r="C108" s="387">
        <v>2500</v>
      </c>
      <c r="D108" s="387">
        <v>2500</v>
      </c>
      <c r="E108" s="387">
        <v>0</v>
      </c>
      <c r="F108" s="387">
        <v>0</v>
      </c>
      <c r="G108" s="387">
        <v>0</v>
      </c>
      <c r="H108" s="387">
        <v>0</v>
      </c>
      <c r="I108" s="387">
        <v>2500</v>
      </c>
      <c r="J108" s="387">
        <v>2500</v>
      </c>
      <c r="K108" s="387">
        <v>2500</v>
      </c>
      <c r="L108" s="387">
        <v>0</v>
      </c>
      <c r="M108" s="387">
        <f>K108-L108</f>
        <v>2500</v>
      </c>
      <c r="N108" s="387" t="s">
        <v>344</v>
      </c>
      <c r="O108" s="387" t="s">
        <v>732</v>
      </c>
      <c r="P108" s="387">
        <v>100</v>
      </c>
      <c r="Q108" s="388">
        <v>36615.708333333336</v>
      </c>
      <c r="R108" s="389" t="s">
        <v>733</v>
      </c>
    </row>
    <row r="109" spans="1:18" ht="12.75" outlineLevel="5">
      <c r="A109" s="393" t="s">
        <v>85</v>
      </c>
      <c r="B109" s="394" t="s">
        <v>1597</v>
      </c>
      <c r="C109" s="387">
        <v>0</v>
      </c>
      <c r="D109" s="387">
        <v>0</v>
      </c>
      <c r="E109" s="387">
        <v>0</v>
      </c>
      <c r="F109" s="387">
        <v>0</v>
      </c>
      <c r="G109" s="387">
        <v>0</v>
      </c>
      <c r="H109" s="387">
        <v>0</v>
      </c>
      <c r="I109" s="387">
        <v>0</v>
      </c>
      <c r="J109" s="387">
        <v>0</v>
      </c>
      <c r="K109" s="387">
        <v>0</v>
      </c>
      <c r="L109" s="387">
        <v>0</v>
      </c>
      <c r="M109" s="387"/>
      <c r="N109" s="387" t="s">
        <v>344</v>
      </c>
      <c r="O109" s="387" t="s">
        <v>732</v>
      </c>
      <c r="P109" s="387">
        <v>0</v>
      </c>
      <c r="Q109" s="388">
        <v>36643.708333333336</v>
      </c>
      <c r="R109" s="390"/>
    </row>
    <row r="110" spans="1:18" ht="12.75" outlineLevel="5">
      <c r="A110" s="393" t="s">
        <v>86</v>
      </c>
      <c r="B110" s="394" t="s">
        <v>73</v>
      </c>
      <c r="C110" s="387">
        <v>0</v>
      </c>
      <c r="D110" s="387">
        <v>0</v>
      </c>
      <c r="E110" s="387">
        <v>0</v>
      </c>
      <c r="F110" s="387">
        <v>0</v>
      </c>
      <c r="G110" s="387">
        <v>0</v>
      </c>
      <c r="H110" s="387">
        <v>0</v>
      </c>
      <c r="I110" s="387">
        <v>0</v>
      </c>
      <c r="J110" s="387">
        <v>0</v>
      </c>
      <c r="K110" s="387">
        <v>0</v>
      </c>
      <c r="L110" s="387">
        <v>0</v>
      </c>
      <c r="M110" s="387"/>
      <c r="N110" s="387" t="s">
        <v>344</v>
      </c>
      <c r="O110" s="387" t="s">
        <v>732</v>
      </c>
      <c r="P110" s="387">
        <v>0</v>
      </c>
      <c r="Q110" s="388">
        <v>36671.708333333336</v>
      </c>
      <c r="R110" s="390"/>
    </row>
    <row r="111" spans="1:18" ht="12.75" outlineLevel="4">
      <c r="A111" s="401" t="s">
        <v>87</v>
      </c>
      <c r="B111" s="394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8"/>
      <c r="R111" s="390"/>
    </row>
    <row r="112" spans="1:18" ht="12.75" outlineLevel="5">
      <c r="A112" s="385" t="s">
        <v>89</v>
      </c>
      <c r="B112" s="386" t="s">
        <v>90</v>
      </c>
      <c r="C112" s="387">
        <v>24600</v>
      </c>
      <c r="D112" s="387">
        <v>24600</v>
      </c>
      <c r="E112" s="387">
        <v>24600</v>
      </c>
      <c r="F112" s="387">
        <v>0</v>
      </c>
      <c r="G112" s="387">
        <v>24600</v>
      </c>
      <c r="H112" s="387">
        <v>0</v>
      </c>
      <c r="I112" s="387">
        <v>0</v>
      </c>
      <c r="J112" s="387">
        <v>24000</v>
      </c>
      <c r="K112" s="387">
        <v>24599.99942779541</v>
      </c>
      <c r="L112" s="387">
        <v>24600</v>
      </c>
      <c r="M112" s="387">
        <f>K112-L112</f>
        <v>-0.00057220458984375</v>
      </c>
      <c r="N112" s="387" t="s">
        <v>736</v>
      </c>
      <c r="O112" s="387" t="s">
        <v>732</v>
      </c>
      <c r="P112" s="387">
        <v>100</v>
      </c>
      <c r="Q112" s="388">
        <v>36868.708333333336</v>
      </c>
      <c r="R112" s="389" t="s">
        <v>733</v>
      </c>
    </row>
    <row r="113" spans="1:18" ht="12.75" outlineLevel="5">
      <c r="A113" s="385" t="s">
        <v>91</v>
      </c>
      <c r="B113" s="386" t="s">
        <v>92</v>
      </c>
      <c r="C113" s="387">
        <v>18976.40625</v>
      </c>
      <c r="D113" s="387">
        <v>18976.40625</v>
      </c>
      <c r="E113" s="387">
        <v>12644.5400390625</v>
      </c>
      <c r="F113" s="387">
        <v>9023.46</v>
      </c>
      <c r="G113" s="387">
        <v>21668.0000390625</v>
      </c>
      <c r="H113" s="387">
        <v>0</v>
      </c>
      <c r="I113" s="387">
        <v>6331.8662109375</v>
      </c>
      <c r="J113" s="387">
        <v>21140</v>
      </c>
      <c r="K113" s="387">
        <v>22325.183084011078</v>
      </c>
      <c r="L113" s="387">
        <v>22325.183084011078</v>
      </c>
      <c r="M113" s="387"/>
      <c r="N113" s="387" t="s">
        <v>737</v>
      </c>
      <c r="O113" s="387" t="s">
        <v>732</v>
      </c>
      <c r="P113" s="387">
        <v>100</v>
      </c>
      <c r="Q113" s="388">
        <v>38041.708333333336</v>
      </c>
      <c r="R113" s="390"/>
    </row>
    <row r="114" spans="1:18" ht="12.75" outlineLevel="5">
      <c r="A114" s="385" t="s">
        <v>93</v>
      </c>
      <c r="B114" s="386" t="s">
        <v>94</v>
      </c>
      <c r="C114" s="387">
        <v>21668.5</v>
      </c>
      <c r="D114" s="387">
        <v>21668.5</v>
      </c>
      <c r="E114" s="387">
        <v>0</v>
      </c>
      <c r="F114" s="387">
        <v>0</v>
      </c>
      <c r="G114" s="387">
        <v>0</v>
      </c>
      <c r="H114" s="387">
        <v>0</v>
      </c>
      <c r="I114" s="387">
        <v>21668.5</v>
      </c>
      <c r="J114" s="387">
        <v>21140</v>
      </c>
      <c r="K114" s="387">
        <v>21668.499495983124</v>
      </c>
      <c r="L114" s="387">
        <v>0</v>
      </c>
      <c r="M114" s="387">
        <f>K114-L114</f>
        <v>21668.499495983124</v>
      </c>
      <c r="N114" s="387" t="s">
        <v>344</v>
      </c>
      <c r="O114" s="387" t="s">
        <v>732</v>
      </c>
      <c r="P114" s="387">
        <v>100</v>
      </c>
      <c r="Q114" s="388">
        <v>36868.708333333336</v>
      </c>
      <c r="R114" s="389" t="s">
        <v>733</v>
      </c>
    </row>
    <row r="115" spans="1:18" ht="12.75" outlineLevel="5">
      <c r="A115" s="385" t="s">
        <v>95</v>
      </c>
      <c r="B115" s="386" t="s">
        <v>96</v>
      </c>
      <c r="C115" s="387">
        <v>42680.1640625</v>
      </c>
      <c r="D115" s="387">
        <v>5277.6005859375</v>
      </c>
      <c r="E115" s="387">
        <v>0</v>
      </c>
      <c r="F115" s="387">
        <v>42680</v>
      </c>
      <c r="G115" s="387">
        <v>42680</v>
      </c>
      <c r="H115" s="387">
        <v>-37402.5634765625</v>
      </c>
      <c r="I115" s="387">
        <v>5277.6005859375</v>
      </c>
      <c r="J115" s="387">
        <v>40584</v>
      </c>
      <c r="K115" s="387">
        <v>42680.165519714355</v>
      </c>
      <c r="L115" s="387">
        <v>42680.165519714355</v>
      </c>
      <c r="M115" s="387"/>
      <c r="N115" s="387" t="s">
        <v>736</v>
      </c>
      <c r="O115" s="387" t="s">
        <v>732</v>
      </c>
      <c r="P115" s="387">
        <v>10</v>
      </c>
      <c r="Q115" s="388">
        <v>37347.708333333336</v>
      </c>
      <c r="R115" s="390"/>
    </row>
    <row r="116" spans="1:18" ht="12.75" outlineLevel="5">
      <c r="A116" s="385" t="s">
        <v>97</v>
      </c>
      <c r="B116" s="386" t="s">
        <v>98</v>
      </c>
      <c r="C116" s="387">
        <v>17785.505859375</v>
      </c>
      <c r="D116" s="387">
        <v>12449.8544921875</v>
      </c>
      <c r="E116" s="387">
        <v>0</v>
      </c>
      <c r="F116" s="387">
        <v>0</v>
      </c>
      <c r="G116" s="387">
        <v>0</v>
      </c>
      <c r="H116" s="387">
        <v>-5335.6513671875</v>
      </c>
      <c r="I116" s="387">
        <v>12449.8544921875</v>
      </c>
      <c r="J116" s="387">
        <v>16912</v>
      </c>
      <c r="K116" s="387">
        <v>17785.505599975586</v>
      </c>
      <c r="L116" s="387">
        <v>17785.505599975586</v>
      </c>
      <c r="M116" s="387"/>
      <c r="N116" s="387" t="s">
        <v>737</v>
      </c>
      <c r="O116" s="387" t="s">
        <v>732</v>
      </c>
      <c r="P116" s="387">
        <v>80</v>
      </c>
      <c r="Q116" s="388">
        <v>37291.708333333336</v>
      </c>
      <c r="R116" s="390"/>
    </row>
    <row r="117" spans="1:18" ht="12.75" outlineLevel="5">
      <c r="A117" s="385" t="s">
        <v>99</v>
      </c>
      <c r="B117" s="386" t="s">
        <v>100</v>
      </c>
      <c r="C117" s="387">
        <v>17785.505859375</v>
      </c>
      <c r="D117" s="387">
        <v>17785.505859375</v>
      </c>
      <c r="E117" s="387">
        <v>0</v>
      </c>
      <c r="F117" s="387">
        <v>0</v>
      </c>
      <c r="G117" s="387">
        <v>0</v>
      </c>
      <c r="H117" s="387">
        <v>0</v>
      </c>
      <c r="I117" s="387">
        <v>17785.505859375</v>
      </c>
      <c r="J117" s="387">
        <v>16912</v>
      </c>
      <c r="K117" s="387">
        <v>17785.505599975586</v>
      </c>
      <c r="L117" s="387">
        <v>17785.505599975586</v>
      </c>
      <c r="M117" s="387"/>
      <c r="N117" s="387" t="s">
        <v>344</v>
      </c>
      <c r="O117" s="387" t="s">
        <v>732</v>
      </c>
      <c r="P117" s="387">
        <v>100</v>
      </c>
      <c r="Q117" s="388">
        <v>37291.708333333336</v>
      </c>
      <c r="R117" s="390"/>
    </row>
    <row r="118" spans="1:18" ht="12.75" outlineLevel="5">
      <c r="A118" s="385" t="s">
        <v>101</v>
      </c>
      <c r="B118" s="386" t="s">
        <v>102</v>
      </c>
      <c r="C118" s="387">
        <v>0</v>
      </c>
      <c r="D118" s="387">
        <v>0</v>
      </c>
      <c r="E118" s="387">
        <v>0</v>
      </c>
      <c r="F118" s="387">
        <v>0</v>
      </c>
      <c r="G118" s="387">
        <v>0</v>
      </c>
      <c r="H118" s="387">
        <v>0</v>
      </c>
      <c r="I118" s="387">
        <v>0</v>
      </c>
      <c r="J118" s="387">
        <v>0</v>
      </c>
      <c r="K118" s="387">
        <v>0</v>
      </c>
      <c r="L118" s="387">
        <v>0</v>
      </c>
      <c r="M118" s="387"/>
      <c r="N118" s="387" t="s">
        <v>736</v>
      </c>
      <c r="O118" s="387" t="s">
        <v>732</v>
      </c>
      <c r="P118" s="387">
        <v>0</v>
      </c>
      <c r="Q118" s="388">
        <v>38259.708333333336</v>
      </c>
      <c r="R118" s="390"/>
    </row>
    <row r="119" spans="1:18" ht="12.75" outlineLevel="5">
      <c r="A119" s="385" t="s">
        <v>103</v>
      </c>
      <c r="B119" s="386" t="s">
        <v>104</v>
      </c>
      <c r="C119" s="387">
        <v>0</v>
      </c>
      <c r="D119" s="387">
        <v>0</v>
      </c>
      <c r="E119" s="387">
        <v>0</v>
      </c>
      <c r="F119" s="387">
        <v>0</v>
      </c>
      <c r="G119" s="387">
        <v>0</v>
      </c>
      <c r="H119" s="387">
        <v>0</v>
      </c>
      <c r="I119" s="387">
        <v>0</v>
      </c>
      <c r="J119" s="387">
        <v>0</v>
      </c>
      <c r="K119" s="387">
        <v>0</v>
      </c>
      <c r="L119" s="387">
        <v>0</v>
      </c>
      <c r="M119" s="387"/>
      <c r="N119" s="387" t="s">
        <v>737</v>
      </c>
      <c r="O119" s="387" t="s">
        <v>732</v>
      </c>
      <c r="P119" s="387">
        <v>0</v>
      </c>
      <c r="Q119" s="388">
        <v>38259.708333333336</v>
      </c>
      <c r="R119" s="390"/>
    </row>
    <row r="120" spans="1:18" ht="12.75" outlineLevel="5">
      <c r="A120" s="385" t="s">
        <v>106</v>
      </c>
      <c r="B120" s="386" t="s">
        <v>107</v>
      </c>
      <c r="C120" s="387">
        <v>0</v>
      </c>
      <c r="D120" s="387">
        <v>0</v>
      </c>
      <c r="E120" s="387">
        <v>0</v>
      </c>
      <c r="F120" s="387">
        <v>0</v>
      </c>
      <c r="G120" s="387">
        <v>0</v>
      </c>
      <c r="H120" s="387">
        <v>0</v>
      </c>
      <c r="I120" s="387">
        <v>0</v>
      </c>
      <c r="J120" s="387">
        <v>0</v>
      </c>
      <c r="K120" s="387">
        <v>0</v>
      </c>
      <c r="L120" s="387">
        <v>0</v>
      </c>
      <c r="M120" s="387"/>
      <c r="N120" s="387" t="s">
        <v>344</v>
      </c>
      <c r="O120" s="387" t="s">
        <v>732</v>
      </c>
      <c r="P120" s="387">
        <v>0</v>
      </c>
      <c r="Q120" s="388">
        <v>38259.708333333336</v>
      </c>
      <c r="R120" s="390"/>
    </row>
    <row r="121" spans="1:18" ht="12.75" outlineLevel="3">
      <c r="A121" s="380" t="s">
        <v>122</v>
      </c>
      <c r="B121" s="381" t="s">
        <v>123</v>
      </c>
      <c r="C121" s="382">
        <f>0+C122+C123+C124+C125+C126+C127+C128+C129+C130</f>
        <v>347603.48828125</v>
      </c>
      <c r="D121" s="382">
        <f>0+D122+D123+D124+D125+D126+D127+D128+D129+D130</f>
        <v>104940.5</v>
      </c>
      <c r="E121" s="382">
        <f>0+E122+E123+E124+E125+E126+E127+E128+E129+E130</f>
        <v>125172.9921875</v>
      </c>
      <c r="F121" s="382">
        <f>0+F122+F123+F124+F125+F126+F127+F128+F129+F130</f>
        <v>166560.1</v>
      </c>
      <c r="G121" s="382">
        <f>F121+E121</f>
        <v>291733.0921875</v>
      </c>
      <c r="H121" s="382">
        <f>D121-C121</f>
        <v>-242662.98828125</v>
      </c>
      <c r="I121" s="382">
        <f>D121-E121</f>
        <v>-20232.4921875</v>
      </c>
      <c r="J121" s="382">
        <f>+J122+J123+J124+J125+J126+J127+J128+J129+J130</f>
        <v>403200</v>
      </c>
      <c r="K121" s="382">
        <f>+K122+K123+K124+K125+K126+K127+K128+K129+K130</f>
        <v>419006.13384246826</v>
      </c>
      <c r="L121" s="382">
        <f>+L122+L123+L124+L125+L126+L127+L128+L129+L130</f>
        <v>419006.13384246826</v>
      </c>
      <c r="M121" s="382">
        <f>K121-L121</f>
        <v>0</v>
      </c>
      <c r="N121" s="382" t="s">
        <v>768</v>
      </c>
      <c r="O121" s="382" t="s">
        <v>732</v>
      </c>
      <c r="P121" s="382">
        <v>31</v>
      </c>
      <c r="Q121" s="383">
        <v>38258.708333333336</v>
      </c>
      <c r="R121" s="384"/>
    </row>
    <row r="122" spans="1:18" ht="12.75" outlineLevel="4">
      <c r="A122" s="385" t="s">
        <v>124</v>
      </c>
      <c r="B122" s="386" t="s">
        <v>125</v>
      </c>
      <c r="C122" s="387">
        <v>291501.40625</v>
      </c>
      <c r="D122" s="387">
        <v>104940.5</v>
      </c>
      <c r="E122" s="387">
        <v>125172.9921875</v>
      </c>
      <c r="F122" s="387">
        <v>166560.1</v>
      </c>
      <c r="G122" s="387">
        <v>291733.0921875</v>
      </c>
      <c r="H122" s="387">
        <v>-186560.90625</v>
      </c>
      <c r="I122" s="387">
        <v>-20232.4921875</v>
      </c>
      <c r="J122" s="387">
        <v>283200</v>
      </c>
      <c r="K122" s="387">
        <v>291501.3988494873</v>
      </c>
      <c r="L122" s="387">
        <v>291501.3988494873</v>
      </c>
      <c r="M122" s="387"/>
      <c r="N122" s="387" t="s">
        <v>736</v>
      </c>
      <c r="O122" s="387" t="s">
        <v>732</v>
      </c>
      <c r="P122" s="387">
        <v>36</v>
      </c>
      <c r="Q122" s="388">
        <v>37473.708333333336</v>
      </c>
      <c r="R122" s="390"/>
    </row>
    <row r="123" spans="1:18" ht="12.75" outlineLevel="4">
      <c r="A123" s="385" t="s">
        <v>126</v>
      </c>
      <c r="B123" s="386" t="s">
        <v>127</v>
      </c>
      <c r="C123" s="387">
        <v>0</v>
      </c>
      <c r="D123" s="387">
        <v>0</v>
      </c>
      <c r="E123" s="387">
        <v>0</v>
      </c>
      <c r="F123" s="387">
        <v>0</v>
      </c>
      <c r="G123" s="387">
        <v>0</v>
      </c>
      <c r="H123" s="387">
        <v>0</v>
      </c>
      <c r="I123" s="387">
        <v>0</v>
      </c>
      <c r="J123" s="387">
        <v>0</v>
      </c>
      <c r="K123" s="387">
        <v>0</v>
      </c>
      <c r="L123" s="387">
        <v>0</v>
      </c>
      <c r="M123" s="387"/>
      <c r="N123" s="387" t="s">
        <v>737</v>
      </c>
      <c r="O123" s="387" t="s">
        <v>732</v>
      </c>
      <c r="P123" s="387">
        <v>26</v>
      </c>
      <c r="Q123" s="388">
        <v>38258.708333333336</v>
      </c>
      <c r="R123" s="390"/>
    </row>
    <row r="124" spans="1:18" ht="12.75" outlineLevel="4">
      <c r="A124" s="385" t="s">
        <v>128</v>
      </c>
      <c r="B124" s="386" t="s">
        <v>129</v>
      </c>
      <c r="C124" s="387">
        <v>0</v>
      </c>
      <c r="D124" s="387">
        <v>0</v>
      </c>
      <c r="E124" s="387">
        <v>0</v>
      </c>
      <c r="F124" s="387">
        <v>0</v>
      </c>
      <c r="G124" s="387">
        <v>0</v>
      </c>
      <c r="H124" s="387">
        <v>0</v>
      </c>
      <c r="I124" s="387">
        <v>0</v>
      </c>
      <c r="J124" s="387">
        <v>0</v>
      </c>
      <c r="K124" s="387">
        <v>0</v>
      </c>
      <c r="L124" s="387">
        <v>0</v>
      </c>
      <c r="M124" s="387"/>
      <c r="N124" s="387" t="s">
        <v>736</v>
      </c>
      <c r="O124" s="387" t="s">
        <v>732</v>
      </c>
      <c r="P124" s="387">
        <v>35</v>
      </c>
      <c r="Q124" s="388">
        <v>38258.708333333336</v>
      </c>
      <c r="R124" s="390"/>
    </row>
    <row r="125" spans="1:18" ht="12.75" outlineLevel="4">
      <c r="A125" s="385" t="s">
        <v>130</v>
      </c>
      <c r="B125" s="386" t="s">
        <v>131</v>
      </c>
      <c r="C125" s="387">
        <v>0</v>
      </c>
      <c r="D125" s="387">
        <v>0</v>
      </c>
      <c r="E125" s="387">
        <v>0</v>
      </c>
      <c r="F125" s="387">
        <v>0</v>
      </c>
      <c r="G125" s="387">
        <v>0</v>
      </c>
      <c r="H125" s="387">
        <v>0</v>
      </c>
      <c r="I125" s="387">
        <v>0</v>
      </c>
      <c r="J125" s="387">
        <v>0</v>
      </c>
      <c r="K125" s="387">
        <v>0</v>
      </c>
      <c r="L125" s="387">
        <v>0</v>
      </c>
      <c r="M125" s="387"/>
      <c r="N125" s="387" t="s">
        <v>344</v>
      </c>
      <c r="O125" s="387" t="s">
        <v>732</v>
      </c>
      <c r="P125" s="387">
        <v>90</v>
      </c>
      <c r="Q125" s="388">
        <v>38258.708333333336</v>
      </c>
      <c r="R125" s="390"/>
    </row>
    <row r="126" spans="1:18" ht="12.75" outlineLevel="4">
      <c r="A126" s="385" t="s">
        <v>132</v>
      </c>
      <c r="B126" s="386" t="s">
        <v>133</v>
      </c>
      <c r="C126" s="387">
        <v>0</v>
      </c>
      <c r="D126" s="387">
        <v>0</v>
      </c>
      <c r="E126" s="387">
        <v>0</v>
      </c>
      <c r="F126" s="387">
        <v>0</v>
      </c>
      <c r="G126" s="387">
        <v>0</v>
      </c>
      <c r="H126" s="387">
        <v>0</v>
      </c>
      <c r="I126" s="387">
        <v>0</v>
      </c>
      <c r="J126" s="387">
        <v>0</v>
      </c>
      <c r="K126" s="387">
        <v>0</v>
      </c>
      <c r="L126" s="387">
        <v>0</v>
      </c>
      <c r="M126" s="387"/>
      <c r="N126" s="387" t="s">
        <v>737</v>
      </c>
      <c r="O126" s="387" t="s">
        <v>732</v>
      </c>
      <c r="P126" s="387">
        <v>0</v>
      </c>
      <c r="Q126" s="388">
        <v>38258.708333333336</v>
      </c>
      <c r="R126" s="390"/>
    </row>
    <row r="127" spans="1:18" ht="12.75" outlineLevel="4">
      <c r="A127" s="385" t="s">
        <v>134</v>
      </c>
      <c r="B127" s="386" t="s">
        <v>135</v>
      </c>
      <c r="C127" s="387">
        <v>0</v>
      </c>
      <c r="D127" s="387">
        <v>0</v>
      </c>
      <c r="E127" s="387">
        <v>0</v>
      </c>
      <c r="F127" s="387">
        <v>0</v>
      </c>
      <c r="G127" s="387">
        <v>0</v>
      </c>
      <c r="H127" s="387">
        <v>0</v>
      </c>
      <c r="I127" s="387">
        <v>0</v>
      </c>
      <c r="J127" s="387">
        <v>0</v>
      </c>
      <c r="K127" s="387">
        <v>0</v>
      </c>
      <c r="L127" s="387">
        <v>0</v>
      </c>
      <c r="M127" s="387"/>
      <c r="N127" s="387" t="s">
        <v>736</v>
      </c>
      <c r="O127" s="387" t="s">
        <v>732</v>
      </c>
      <c r="P127" s="387">
        <v>0</v>
      </c>
      <c r="Q127" s="388">
        <v>38258.708333333336</v>
      </c>
      <c r="R127" s="390"/>
    </row>
    <row r="128" spans="1:18" ht="12.75" outlineLevel="4">
      <c r="A128" s="385" t="s">
        <v>136</v>
      </c>
      <c r="B128" s="386" t="s">
        <v>137</v>
      </c>
      <c r="C128" s="387">
        <v>0</v>
      </c>
      <c r="D128" s="387">
        <v>0</v>
      </c>
      <c r="E128" s="387">
        <v>0</v>
      </c>
      <c r="F128" s="387">
        <v>0</v>
      </c>
      <c r="G128" s="387">
        <v>0</v>
      </c>
      <c r="H128" s="387">
        <v>0</v>
      </c>
      <c r="I128" s="387">
        <v>0</v>
      </c>
      <c r="J128" s="387">
        <v>0</v>
      </c>
      <c r="K128" s="387">
        <v>0</v>
      </c>
      <c r="L128" s="387">
        <v>0</v>
      </c>
      <c r="M128" s="387"/>
      <c r="N128" s="387" t="s">
        <v>344</v>
      </c>
      <c r="O128" s="387" t="s">
        <v>732</v>
      </c>
      <c r="P128" s="387">
        <v>0</v>
      </c>
      <c r="Q128" s="388">
        <v>38258.708333333336</v>
      </c>
      <c r="R128" s="390"/>
    </row>
    <row r="129" spans="1:18" ht="12.75" outlineLevel="4">
      <c r="A129" s="385" t="s">
        <v>144</v>
      </c>
      <c r="B129" s="386" t="s">
        <v>78</v>
      </c>
      <c r="C129" s="387">
        <v>0</v>
      </c>
      <c r="D129" s="387">
        <v>0</v>
      </c>
      <c r="E129" s="387">
        <v>0</v>
      </c>
      <c r="F129" s="387">
        <v>0</v>
      </c>
      <c r="G129" s="387">
        <v>0</v>
      </c>
      <c r="H129" s="387">
        <v>0</v>
      </c>
      <c r="I129" s="387">
        <v>0</v>
      </c>
      <c r="J129" s="387">
        <v>0</v>
      </c>
      <c r="K129" s="387">
        <v>0</v>
      </c>
      <c r="L129" s="387">
        <v>0</v>
      </c>
      <c r="M129" s="387"/>
      <c r="N129" s="387" t="s">
        <v>737</v>
      </c>
      <c r="O129" s="387" t="s">
        <v>732</v>
      </c>
      <c r="P129" s="387">
        <v>32</v>
      </c>
      <c r="Q129" s="388">
        <v>37890.708333333336</v>
      </c>
      <c r="R129" s="390"/>
    </row>
    <row r="130" spans="1:18" ht="12.75" outlineLevel="4">
      <c r="A130" s="385" t="s">
        <v>1600</v>
      </c>
      <c r="B130" s="386" t="s">
        <v>1603</v>
      </c>
      <c r="C130" s="387">
        <v>56102.08203125</v>
      </c>
      <c r="D130" s="387">
        <v>0</v>
      </c>
      <c r="E130" s="387">
        <v>0</v>
      </c>
      <c r="F130" s="387">
        <v>0</v>
      </c>
      <c r="G130" s="387">
        <v>0</v>
      </c>
      <c r="H130" s="387">
        <v>-56102.08203125</v>
      </c>
      <c r="I130" s="387">
        <v>0</v>
      </c>
      <c r="J130" s="387">
        <v>120000</v>
      </c>
      <c r="K130" s="387">
        <v>127504.73499298096</v>
      </c>
      <c r="L130" s="387">
        <v>127504.73499298096</v>
      </c>
      <c r="M130" s="387"/>
      <c r="N130" s="387" t="s">
        <v>736</v>
      </c>
      <c r="O130" s="387" t="s">
        <v>732</v>
      </c>
      <c r="P130" s="387">
        <v>0</v>
      </c>
      <c r="Q130" s="388">
        <v>37708.708333333336</v>
      </c>
      <c r="R130" s="390"/>
    </row>
    <row r="131" spans="1:18" ht="12.75" outlineLevel="3">
      <c r="A131" s="380" t="s">
        <v>145</v>
      </c>
      <c r="B131" s="381" t="s">
        <v>787</v>
      </c>
      <c r="C131" s="382">
        <f>0+C132+C133+C134</f>
        <v>0</v>
      </c>
      <c r="D131" s="382">
        <f>0+D132+D133+D134</f>
        <v>0</v>
      </c>
      <c r="E131" s="382">
        <f>0+E132+E133+E134</f>
        <v>0</v>
      </c>
      <c r="F131" s="382">
        <f>0+F132+F133+F134</f>
        <v>0</v>
      </c>
      <c r="G131" s="382">
        <f>F131+E131</f>
        <v>0</v>
      </c>
      <c r="H131" s="382">
        <f>D131-C131</f>
        <v>0</v>
      </c>
      <c r="I131" s="382">
        <f>D131-E131</f>
        <v>0</v>
      </c>
      <c r="J131" s="382">
        <f>+J132+J133+J134</f>
        <v>0</v>
      </c>
      <c r="K131" s="382">
        <f>+K132+K133+K134</f>
        <v>0</v>
      </c>
      <c r="L131" s="382">
        <f>+L132+L133+L134</f>
        <v>0</v>
      </c>
      <c r="M131" s="382">
        <f>K131-L131</f>
        <v>0</v>
      </c>
      <c r="N131" s="382" t="s">
        <v>742</v>
      </c>
      <c r="O131" s="382" t="s">
        <v>732</v>
      </c>
      <c r="P131" s="382">
        <v>100</v>
      </c>
      <c r="Q131" s="383">
        <v>37568.708333333336</v>
      </c>
      <c r="R131" s="384"/>
    </row>
    <row r="132" spans="1:18" ht="12.75" outlineLevel="4">
      <c r="A132" s="391" t="s">
        <v>147</v>
      </c>
      <c r="B132" s="392" t="s">
        <v>788</v>
      </c>
      <c r="C132" s="382">
        <v>0</v>
      </c>
      <c r="D132" s="382">
        <v>0</v>
      </c>
      <c r="E132" s="382">
        <v>0</v>
      </c>
      <c r="F132" s="382">
        <v>0</v>
      </c>
      <c r="G132" s="382"/>
      <c r="H132" s="382"/>
      <c r="I132" s="382"/>
      <c r="J132" s="382"/>
      <c r="K132" s="382"/>
      <c r="L132" s="382"/>
      <c r="M132" s="382">
        <f>K132-L132</f>
        <v>0</v>
      </c>
      <c r="N132" s="382" t="s">
        <v>742</v>
      </c>
      <c r="O132" s="382" t="s">
        <v>732</v>
      </c>
      <c r="P132" s="382">
        <v>100</v>
      </c>
      <c r="Q132" s="383">
        <v>37399.708333333336</v>
      </c>
      <c r="R132" s="384"/>
    </row>
    <row r="133" spans="1:18" ht="12.75" outlineLevel="4">
      <c r="A133" s="391" t="s">
        <v>153</v>
      </c>
      <c r="B133" s="392" t="s">
        <v>789</v>
      </c>
      <c r="C133" s="382">
        <v>0</v>
      </c>
      <c r="D133" s="382">
        <v>0</v>
      </c>
      <c r="E133" s="382">
        <v>0</v>
      </c>
      <c r="F133" s="382">
        <v>0</v>
      </c>
      <c r="G133" s="382"/>
      <c r="H133" s="382"/>
      <c r="I133" s="382"/>
      <c r="J133" s="382"/>
      <c r="K133" s="382"/>
      <c r="L133" s="382"/>
      <c r="M133" s="382">
        <f>K133-L133</f>
        <v>0</v>
      </c>
      <c r="N133" s="382" t="s">
        <v>742</v>
      </c>
      <c r="O133" s="382" t="s">
        <v>732</v>
      </c>
      <c r="P133" s="382">
        <v>100</v>
      </c>
      <c r="Q133" s="383">
        <v>37315.708333333336</v>
      </c>
      <c r="R133" s="384"/>
    </row>
    <row r="134" spans="1:18" ht="12.75" outlineLevel="4">
      <c r="A134" s="391" t="s">
        <v>157</v>
      </c>
      <c r="B134" s="392" t="s">
        <v>790</v>
      </c>
      <c r="C134" s="382">
        <v>0</v>
      </c>
      <c r="D134" s="382">
        <v>0</v>
      </c>
      <c r="E134" s="382">
        <v>0</v>
      </c>
      <c r="F134" s="382">
        <v>0</v>
      </c>
      <c r="G134" s="382"/>
      <c r="H134" s="382"/>
      <c r="I134" s="382"/>
      <c r="J134" s="382"/>
      <c r="K134" s="382"/>
      <c r="L134" s="382"/>
      <c r="M134" s="382">
        <f>K134-L134</f>
        <v>0</v>
      </c>
      <c r="N134" s="382" t="s">
        <v>742</v>
      </c>
      <c r="O134" s="382" t="s">
        <v>732</v>
      </c>
      <c r="P134" s="382">
        <v>100</v>
      </c>
      <c r="Q134" s="383">
        <v>37568.708333333336</v>
      </c>
      <c r="R134" s="384"/>
    </row>
    <row r="135" spans="1:18" ht="12.75" outlineLevel="3">
      <c r="A135" s="380" t="s">
        <v>1032</v>
      </c>
      <c r="B135" s="381" t="s">
        <v>1604</v>
      </c>
      <c r="C135" s="382">
        <f>0+C136+C137+C138+C139</f>
        <v>15774.75</v>
      </c>
      <c r="D135" s="382">
        <f>0+D136+D137+D138+D139</f>
        <v>15774.75</v>
      </c>
      <c r="E135" s="382">
        <f>0+E136+E137+E138+E139</f>
        <v>0</v>
      </c>
      <c r="F135" s="382">
        <f>0+F136+F137+F138+F139</f>
        <v>0</v>
      </c>
      <c r="G135" s="382">
        <f>F135+E135</f>
        <v>0</v>
      </c>
      <c r="H135" s="382">
        <f>D135-C135</f>
        <v>0</v>
      </c>
      <c r="I135" s="382">
        <f>D135-E135</f>
        <v>15774.75</v>
      </c>
      <c r="J135" s="382">
        <f>+J136+J137+J138+J139</f>
        <v>160440</v>
      </c>
      <c r="K135" s="382">
        <f>+K136+K137+K138+K139</f>
        <v>172007.20190048218</v>
      </c>
      <c r="L135" s="382">
        <f>+L136+L137+L138+L139</f>
        <v>172007.20190048218</v>
      </c>
      <c r="M135" s="382">
        <f>K135-L135</f>
        <v>0</v>
      </c>
      <c r="N135" s="382" t="s">
        <v>768</v>
      </c>
      <c r="O135" s="382" t="s">
        <v>732</v>
      </c>
      <c r="P135" s="382">
        <v>8</v>
      </c>
      <c r="Q135" s="383">
        <v>37911.708333333336</v>
      </c>
      <c r="R135" s="384"/>
    </row>
    <row r="136" spans="1:18" ht="12.75" outlineLevel="4">
      <c r="A136" s="385" t="s">
        <v>1033</v>
      </c>
      <c r="B136" s="386" t="s">
        <v>1605</v>
      </c>
      <c r="C136" s="387">
        <v>0</v>
      </c>
      <c r="D136" s="387">
        <v>0</v>
      </c>
      <c r="E136" s="387">
        <v>0</v>
      </c>
      <c r="F136" s="387">
        <v>0</v>
      </c>
      <c r="G136" s="387">
        <v>0</v>
      </c>
      <c r="H136" s="387">
        <v>0</v>
      </c>
      <c r="I136" s="387">
        <v>0</v>
      </c>
      <c r="J136" s="387">
        <v>57600</v>
      </c>
      <c r="K136" s="387">
        <v>61847.12219238281</v>
      </c>
      <c r="L136" s="387">
        <v>61847.12219238281</v>
      </c>
      <c r="M136" s="387"/>
      <c r="N136" s="387" t="s">
        <v>736</v>
      </c>
      <c r="O136" s="387" t="s">
        <v>732</v>
      </c>
      <c r="P136" s="387">
        <v>0</v>
      </c>
      <c r="Q136" s="388">
        <v>37911.708333333336</v>
      </c>
      <c r="R136" s="390"/>
    </row>
    <row r="137" spans="1:18" ht="12.75" outlineLevel="4">
      <c r="A137" s="385" t="s">
        <v>1062</v>
      </c>
      <c r="B137" s="386" t="s">
        <v>1606</v>
      </c>
      <c r="C137" s="387">
        <v>0</v>
      </c>
      <c r="D137" s="387">
        <v>0</v>
      </c>
      <c r="E137" s="387">
        <v>0</v>
      </c>
      <c r="F137" s="387">
        <v>0</v>
      </c>
      <c r="G137" s="387">
        <v>0</v>
      </c>
      <c r="H137" s="387">
        <v>0</v>
      </c>
      <c r="I137" s="387">
        <v>0</v>
      </c>
      <c r="J137" s="387">
        <v>21840</v>
      </c>
      <c r="K137" s="387">
        <v>23518.8348197937</v>
      </c>
      <c r="L137" s="387">
        <v>23518.8348197937</v>
      </c>
      <c r="M137" s="387"/>
      <c r="N137" s="387" t="s">
        <v>736</v>
      </c>
      <c r="O137" s="387" t="s">
        <v>732</v>
      </c>
      <c r="P137" s="387">
        <v>0</v>
      </c>
      <c r="Q137" s="388">
        <v>37911.708333333336</v>
      </c>
      <c r="R137" s="390"/>
    </row>
    <row r="138" spans="1:18" ht="12.75" outlineLevel="4">
      <c r="A138" s="385" t="s">
        <v>1104</v>
      </c>
      <c r="B138" s="386" t="s">
        <v>1607</v>
      </c>
      <c r="C138" s="387">
        <v>0</v>
      </c>
      <c r="D138" s="387">
        <v>0</v>
      </c>
      <c r="E138" s="387">
        <v>0</v>
      </c>
      <c r="F138" s="387">
        <v>0</v>
      </c>
      <c r="G138" s="387">
        <v>0</v>
      </c>
      <c r="H138" s="387">
        <v>0</v>
      </c>
      <c r="I138" s="387">
        <v>0</v>
      </c>
      <c r="J138" s="387">
        <v>66000</v>
      </c>
      <c r="K138" s="387">
        <v>70866.49417877197</v>
      </c>
      <c r="L138" s="387">
        <v>70866.49417877197</v>
      </c>
      <c r="M138" s="387"/>
      <c r="N138" s="387" t="s">
        <v>736</v>
      </c>
      <c r="O138" s="387" t="s">
        <v>732</v>
      </c>
      <c r="P138" s="387">
        <v>0</v>
      </c>
      <c r="Q138" s="388">
        <v>37911.708333333336</v>
      </c>
      <c r="R138" s="390"/>
    </row>
    <row r="139" spans="1:18" ht="12.75" outlineLevel="4">
      <c r="A139" s="391" t="s">
        <v>1608</v>
      </c>
      <c r="B139" s="392" t="s">
        <v>1609</v>
      </c>
      <c r="C139" s="382">
        <f>0+C140+C141</f>
        <v>15774.75</v>
      </c>
      <c r="D139" s="382">
        <f>0+D140+D141</f>
        <v>15774.75</v>
      </c>
      <c r="E139" s="382">
        <f>0+E140+E141</f>
        <v>0</v>
      </c>
      <c r="F139" s="382">
        <f>0+F140+F141</f>
        <v>0</v>
      </c>
      <c r="G139" s="382">
        <f>F139+E139</f>
        <v>0</v>
      </c>
      <c r="H139" s="382">
        <f>D139-C139</f>
        <v>0</v>
      </c>
      <c r="I139" s="382">
        <f>D139-E139</f>
        <v>15774.75</v>
      </c>
      <c r="J139" s="382">
        <f>+J140+J141</f>
        <v>15000</v>
      </c>
      <c r="K139" s="382">
        <f>+K140+K141</f>
        <v>15774.750709533691</v>
      </c>
      <c r="L139" s="382">
        <f>+L140+L141</f>
        <v>15774.750709533691</v>
      </c>
      <c r="M139" s="382">
        <f>K139-L139</f>
        <v>0</v>
      </c>
      <c r="N139" s="382" t="s">
        <v>768</v>
      </c>
      <c r="O139" s="382" t="s">
        <v>732</v>
      </c>
      <c r="P139" s="382">
        <v>93</v>
      </c>
      <c r="Q139" s="383">
        <v>37344.708333333336</v>
      </c>
      <c r="R139" s="384"/>
    </row>
    <row r="140" spans="1:18" ht="12.75" outlineLevel="5">
      <c r="A140" s="393" t="s">
        <v>1610</v>
      </c>
      <c r="B140" s="394" t="s">
        <v>1611</v>
      </c>
      <c r="C140" s="387">
        <v>5258.25</v>
      </c>
      <c r="D140" s="387">
        <v>5258.25</v>
      </c>
      <c r="E140" s="387">
        <v>0</v>
      </c>
      <c r="F140" s="387">
        <v>0</v>
      </c>
      <c r="G140" s="387">
        <v>0</v>
      </c>
      <c r="H140" s="387">
        <v>0</v>
      </c>
      <c r="I140" s="387">
        <v>5258.25</v>
      </c>
      <c r="J140" s="387">
        <v>5000</v>
      </c>
      <c r="K140" s="387">
        <v>5258.2502365112305</v>
      </c>
      <c r="L140" s="387">
        <v>5258.2502365112305</v>
      </c>
      <c r="M140" s="387"/>
      <c r="N140" s="387" t="s">
        <v>737</v>
      </c>
      <c r="O140" s="387" t="s">
        <v>732</v>
      </c>
      <c r="P140" s="387">
        <v>80</v>
      </c>
      <c r="Q140" s="388">
        <v>37330.708333333336</v>
      </c>
      <c r="R140" s="390"/>
    </row>
    <row r="141" spans="1:18" ht="12.75" outlineLevel="5">
      <c r="A141" s="393" t="s">
        <v>1612</v>
      </c>
      <c r="B141" s="394" t="s">
        <v>1613</v>
      </c>
      <c r="C141" s="387">
        <v>10516.5</v>
      </c>
      <c r="D141" s="387">
        <v>10516.5</v>
      </c>
      <c r="E141" s="387">
        <v>0</v>
      </c>
      <c r="F141" s="387">
        <v>0</v>
      </c>
      <c r="G141" s="387">
        <v>0</v>
      </c>
      <c r="H141" s="387">
        <v>0</v>
      </c>
      <c r="I141" s="387">
        <v>10516.5</v>
      </c>
      <c r="J141" s="387">
        <v>10000</v>
      </c>
      <c r="K141" s="387">
        <v>10516.500473022461</v>
      </c>
      <c r="L141" s="387">
        <v>10516.500473022461</v>
      </c>
      <c r="M141" s="387"/>
      <c r="N141" s="387" t="s">
        <v>737</v>
      </c>
      <c r="O141" s="387" t="s">
        <v>732</v>
      </c>
      <c r="P141" s="387">
        <v>100</v>
      </c>
      <c r="Q141" s="388">
        <v>37344.708333333336</v>
      </c>
      <c r="R141" s="390"/>
    </row>
    <row r="142" spans="1:18" ht="12.75" outlineLevel="3">
      <c r="A142" s="380" t="s">
        <v>555</v>
      </c>
      <c r="B142" s="381" t="s">
        <v>556</v>
      </c>
      <c r="C142" s="382">
        <f>0+C143+C144+C145+C146+C147</f>
        <v>141972.751953125</v>
      </c>
      <c r="D142" s="382">
        <f>0+D143+D144+D145+D146+D147</f>
        <v>42066</v>
      </c>
      <c r="E142" s="382">
        <f>0+E143+E144+E145+E146+E147</f>
        <v>87136.5078125</v>
      </c>
      <c r="F142" s="382">
        <f>0+F143+F144+F145+F146+F147</f>
        <v>0</v>
      </c>
      <c r="G142" s="382">
        <f>F142+E142</f>
        <v>87136.5078125</v>
      </c>
      <c r="H142" s="382">
        <f>D142-C142</f>
        <v>-99906.751953125</v>
      </c>
      <c r="I142" s="382">
        <f>D142-E142</f>
        <v>-45070.5078125</v>
      </c>
      <c r="J142" s="382">
        <f>+J143+J144+J145+J146+J147</f>
        <v>135000</v>
      </c>
      <c r="K142" s="382">
        <f>+K143+K144+K145+K146+K147</f>
        <v>141972.75638580322</v>
      </c>
      <c r="L142" s="382">
        <f>+L143+L144+L145+L146+L147</f>
        <v>141972.75638580322</v>
      </c>
      <c r="M142" s="382">
        <f>K142-L142</f>
        <v>0</v>
      </c>
      <c r="N142" s="382" t="s">
        <v>1615</v>
      </c>
      <c r="O142" s="382" t="s">
        <v>732</v>
      </c>
      <c r="P142" s="382">
        <v>46</v>
      </c>
      <c r="Q142" s="383">
        <v>37516.708333333336</v>
      </c>
      <c r="R142" s="384"/>
    </row>
    <row r="143" spans="1:18" ht="12.75" outlineLevel="4">
      <c r="A143" s="385" t="s">
        <v>557</v>
      </c>
      <c r="B143" s="386" t="s">
        <v>558</v>
      </c>
      <c r="C143" s="387">
        <v>26291.251953125</v>
      </c>
      <c r="D143" s="387">
        <v>0</v>
      </c>
      <c r="E143" s="387">
        <v>29506.609375</v>
      </c>
      <c r="F143" s="387">
        <v>0</v>
      </c>
      <c r="G143" s="387">
        <v>29506.609375</v>
      </c>
      <c r="H143" s="387">
        <v>-26291.251953125</v>
      </c>
      <c r="I143" s="387">
        <v>-29506.609375</v>
      </c>
      <c r="J143" s="387">
        <v>25000</v>
      </c>
      <c r="K143" s="387">
        <v>26291.251182556152</v>
      </c>
      <c r="L143" s="387">
        <v>26291.251182556152</v>
      </c>
      <c r="M143" s="387"/>
      <c r="N143" s="387" t="s">
        <v>1615</v>
      </c>
      <c r="O143" s="387" t="s">
        <v>732</v>
      </c>
      <c r="P143" s="387">
        <v>75</v>
      </c>
      <c r="Q143" s="388">
        <v>37432.708333333336</v>
      </c>
      <c r="R143" s="390"/>
    </row>
    <row r="144" spans="1:18" ht="12.75" outlineLevel="4">
      <c r="A144" s="385" t="s">
        <v>559</v>
      </c>
      <c r="B144" s="386" t="s">
        <v>560</v>
      </c>
      <c r="C144" s="387">
        <v>21033</v>
      </c>
      <c r="D144" s="387">
        <v>0</v>
      </c>
      <c r="E144" s="387">
        <v>0</v>
      </c>
      <c r="F144" s="387">
        <v>0</v>
      </c>
      <c r="G144" s="387">
        <v>0</v>
      </c>
      <c r="H144" s="387">
        <v>-21033</v>
      </c>
      <c r="I144" s="387">
        <v>0</v>
      </c>
      <c r="J144" s="387">
        <v>20000</v>
      </c>
      <c r="K144" s="387">
        <v>21033.000946044922</v>
      </c>
      <c r="L144" s="387">
        <v>21033.000946044922</v>
      </c>
      <c r="M144" s="387"/>
      <c r="N144" s="387" t="s">
        <v>1615</v>
      </c>
      <c r="O144" s="387" t="s">
        <v>732</v>
      </c>
      <c r="P144" s="387">
        <v>95</v>
      </c>
      <c r="Q144" s="388">
        <v>37404.708333333336</v>
      </c>
      <c r="R144" s="390"/>
    </row>
    <row r="145" spans="1:18" ht="12.75" outlineLevel="4">
      <c r="A145" s="385" t="s">
        <v>561</v>
      </c>
      <c r="B145" s="386" t="s">
        <v>562</v>
      </c>
      <c r="C145" s="387">
        <v>42066</v>
      </c>
      <c r="D145" s="387">
        <v>42066</v>
      </c>
      <c r="E145" s="387">
        <v>57629.8984375</v>
      </c>
      <c r="F145" s="387">
        <v>0</v>
      </c>
      <c r="G145" s="387">
        <v>57629.8984375</v>
      </c>
      <c r="H145" s="387">
        <v>0</v>
      </c>
      <c r="I145" s="387">
        <v>-15563.8984375</v>
      </c>
      <c r="J145" s="387">
        <v>40000</v>
      </c>
      <c r="K145" s="387">
        <v>42066.001892089844</v>
      </c>
      <c r="L145" s="387">
        <v>42066.001892089844</v>
      </c>
      <c r="M145" s="387"/>
      <c r="N145" s="387" t="s">
        <v>1615</v>
      </c>
      <c r="O145" s="387" t="s">
        <v>732</v>
      </c>
      <c r="P145" s="387">
        <v>95</v>
      </c>
      <c r="Q145" s="388">
        <v>37432.708333333336</v>
      </c>
      <c r="R145" s="390"/>
    </row>
    <row r="146" spans="1:18" ht="12.75" outlineLevel="4">
      <c r="A146" s="385" t="s">
        <v>563</v>
      </c>
      <c r="B146" s="386" t="s">
        <v>564</v>
      </c>
      <c r="C146" s="387">
        <v>10516.5</v>
      </c>
      <c r="D146" s="387">
        <v>0</v>
      </c>
      <c r="E146" s="387">
        <v>0</v>
      </c>
      <c r="F146" s="387">
        <v>0</v>
      </c>
      <c r="G146" s="387">
        <v>0</v>
      </c>
      <c r="H146" s="387">
        <v>-10516.5</v>
      </c>
      <c r="I146" s="387">
        <v>0</v>
      </c>
      <c r="J146" s="387">
        <v>10000</v>
      </c>
      <c r="K146" s="387">
        <v>10516.500473022461</v>
      </c>
      <c r="L146" s="387">
        <v>10516.500473022461</v>
      </c>
      <c r="M146" s="387"/>
      <c r="N146" s="387" t="s">
        <v>740</v>
      </c>
      <c r="O146" s="387" t="s">
        <v>732</v>
      </c>
      <c r="P146" s="387">
        <v>0</v>
      </c>
      <c r="Q146" s="388">
        <v>37516.708333333336</v>
      </c>
      <c r="R146" s="390"/>
    </row>
    <row r="147" spans="1:18" ht="12.75" outlineLevel="4">
      <c r="A147" s="385" t="s">
        <v>1429</v>
      </c>
      <c r="B147" s="386" t="s">
        <v>1430</v>
      </c>
      <c r="C147" s="387">
        <v>42066</v>
      </c>
      <c r="D147" s="387">
        <v>0</v>
      </c>
      <c r="E147" s="387">
        <v>0</v>
      </c>
      <c r="F147" s="387">
        <v>0</v>
      </c>
      <c r="G147" s="387">
        <v>0</v>
      </c>
      <c r="H147" s="387">
        <v>-42066</v>
      </c>
      <c r="I147" s="387">
        <v>0</v>
      </c>
      <c r="J147" s="387">
        <v>40000</v>
      </c>
      <c r="K147" s="387">
        <v>42066.001892089844</v>
      </c>
      <c r="L147" s="387">
        <v>42066.001892089844</v>
      </c>
      <c r="M147" s="387"/>
      <c r="N147" s="387" t="s">
        <v>736</v>
      </c>
      <c r="O147" s="387" t="s">
        <v>732</v>
      </c>
      <c r="P147" s="387">
        <v>60</v>
      </c>
      <c r="Q147" s="388">
        <v>37432.708333333336</v>
      </c>
      <c r="R147" s="390"/>
    </row>
    <row r="148" spans="1:18" ht="12.75" outlineLevel="4">
      <c r="A148" s="391" t="s">
        <v>565</v>
      </c>
      <c r="B148" s="392" t="s">
        <v>566</v>
      </c>
      <c r="C148" s="382">
        <v>0</v>
      </c>
      <c r="D148" s="382">
        <v>0</v>
      </c>
      <c r="E148" s="382">
        <v>0</v>
      </c>
      <c r="F148" s="382">
        <v>0</v>
      </c>
      <c r="G148" s="382"/>
      <c r="H148" s="382"/>
      <c r="I148" s="382"/>
      <c r="J148" s="382"/>
      <c r="K148" s="382"/>
      <c r="L148" s="382"/>
      <c r="M148" s="382">
        <f>K148-L148</f>
        <v>0</v>
      </c>
      <c r="N148" s="382" t="s">
        <v>1615</v>
      </c>
      <c r="O148" s="382" t="s">
        <v>732</v>
      </c>
      <c r="P148" s="382">
        <v>0</v>
      </c>
      <c r="Q148" s="383">
        <v>38352.708333333336</v>
      </c>
      <c r="R148" s="384"/>
    </row>
    <row r="149" spans="1:18" ht="12.75" outlineLevel="1">
      <c r="A149" s="370">
        <v>2.2</v>
      </c>
      <c r="B149" s="371" t="s">
        <v>1727</v>
      </c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 t="s">
        <v>567</v>
      </c>
      <c r="O149" s="372" t="s">
        <v>732</v>
      </c>
      <c r="P149" s="372">
        <v>18</v>
      </c>
      <c r="Q149" s="373">
        <v>38686.333333333336</v>
      </c>
      <c r="R149" s="374"/>
    </row>
    <row r="150" spans="1:18" ht="12.75" outlineLevel="2">
      <c r="A150" s="375" t="s">
        <v>1728</v>
      </c>
      <c r="B150" s="376" t="s">
        <v>1775</v>
      </c>
      <c r="C150" s="377">
        <f>0+C151+C156+C157+C162+C166+C167+C168+C172+C175</f>
        <v>0</v>
      </c>
      <c r="D150" s="377">
        <f>0+D151+D156+D157+D162+D166+D167+D168+D172+D175</f>
        <v>0</v>
      </c>
      <c r="E150" s="377">
        <f>0+E151+E156+E157+E162+E166+E167+E168+E172+E175</f>
        <v>0</v>
      </c>
      <c r="F150" s="377">
        <f>0+F151+F156+F157+F162+F166+F167+F168+F172+F175</f>
        <v>252712</v>
      </c>
      <c r="G150" s="377">
        <f>F150+E150</f>
        <v>252712</v>
      </c>
      <c r="H150" s="377">
        <f>D150-C150</f>
        <v>0</v>
      </c>
      <c r="I150" s="377">
        <f>D150-E150</f>
        <v>0</v>
      </c>
      <c r="J150" s="377">
        <f>+J151+J156+J157+J162+J166+J167+J168+J172+J175</f>
        <v>357304</v>
      </c>
      <c r="K150" s="377">
        <f>+K151+K156+K157+K162+K166+K167+K168+K172+K175</f>
        <v>383810.78464508057</v>
      </c>
      <c r="L150" s="377">
        <f>+L151+L156+L157+L162+L166+L167+L168+L172+L175</f>
        <v>383810.78464508057</v>
      </c>
      <c r="M150" s="377">
        <f>K150-L150</f>
        <v>0</v>
      </c>
      <c r="N150" s="377" t="s">
        <v>768</v>
      </c>
      <c r="O150" s="377" t="s">
        <v>732</v>
      </c>
      <c r="P150" s="377">
        <v>27</v>
      </c>
      <c r="Q150" s="378">
        <v>38518.708333333336</v>
      </c>
      <c r="R150" s="379"/>
    </row>
    <row r="151" spans="1:18" ht="12.75" outlineLevel="3">
      <c r="A151" s="380" t="s">
        <v>1729</v>
      </c>
      <c r="B151" s="381" t="s">
        <v>1730</v>
      </c>
      <c r="C151" s="382">
        <f>0+C152+C153+C154+C155</f>
        <v>0</v>
      </c>
      <c r="D151" s="382">
        <f>0+D152+D153+D154+D155</f>
        <v>0</v>
      </c>
      <c r="E151" s="382">
        <f>0+E152+E153+E154+E155</f>
        <v>0</v>
      </c>
      <c r="F151" s="382">
        <f>0+F152+F153+F154+F155</f>
        <v>252712</v>
      </c>
      <c r="G151" s="382">
        <f>F151+E151</f>
        <v>252712</v>
      </c>
      <c r="H151" s="382">
        <f>D151-C151</f>
        <v>0</v>
      </c>
      <c r="I151" s="382">
        <f>D151-E151</f>
        <v>0</v>
      </c>
      <c r="J151" s="382">
        <f>+J152+J153+J154+J155</f>
        <v>276804</v>
      </c>
      <c r="K151" s="382">
        <f>+K152+K153+K154+K155</f>
        <v>297214.07658576965</v>
      </c>
      <c r="L151" s="382">
        <f>+L152+L153+L154+L155</f>
        <v>297214.07658576965</v>
      </c>
      <c r="M151" s="382">
        <f>K151-L151</f>
        <v>0</v>
      </c>
      <c r="N151" s="382" t="s">
        <v>768</v>
      </c>
      <c r="O151" s="382" t="s">
        <v>732</v>
      </c>
      <c r="P151" s="382">
        <v>0</v>
      </c>
      <c r="Q151" s="383">
        <v>37792.708333333336</v>
      </c>
      <c r="R151" s="384"/>
    </row>
    <row r="152" spans="1:18" ht="12.75" outlineLevel="4">
      <c r="A152" s="385" t="s">
        <v>1731</v>
      </c>
      <c r="B152" s="386" t="s">
        <v>1732</v>
      </c>
      <c r="C152" s="387">
        <v>0</v>
      </c>
      <c r="D152" s="387">
        <v>0</v>
      </c>
      <c r="E152" s="387">
        <v>0</v>
      </c>
      <c r="F152" s="387">
        <v>252712</v>
      </c>
      <c r="G152" s="387">
        <v>252712</v>
      </c>
      <c r="H152" s="387">
        <v>0</v>
      </c>
      <c r="I152" s="387">
        <v>0</v>
      </c>
      <c r="J152" s="387">
        <v>276804</v>
      </c>
      <c r="K152" s="387">
        <v>297214.07658576965</v>
      </c>
      <c r="L152" s="387">
        <v>297214.07658576965</v>
      </c>
      <c r="M152" s="387"/>
      <c r="N152" s="387" t="s">
        <v>736</v>
      </c>
      <c r="O152" s="387" t="s">
        <v>732</v>
      </c>
      <c r="P152" s="387">
        <v>0</v>
      </c>
      <c r="Q152" s="388">
        <v>37792.708333333336</v>
      </c>
      <c r="R152" s="390"/>
    </row>
    <row r="153" spans="1:18" ht="12.75" outlineLevel="4">
      <c r="A153" s="385" t="s">
        <v>1733</v>
      </c>
      <c r="B153" s="386" t="s">
        <v>1734</v>
      </c>
      <c r="C153" s="387">
        <v>0</v>
      </c>
      <c r="D153" s="387">
        <v>0</v>
      </c>
      <c r="E153" s="387">
        <v>0</v>
      </c>
      <c r="F153" s="387">
        <v>0</v>
      </c>
      <c r="G153" s="387">
        <v>0</v>
      </c>
      <c r="H153" s="387">
        <v>0</v>
      </c>
      <c r="I153" s="387">
        <v>0</v>
      </c>
      <c r="J153" s="387">
        <v>0</v>
      </c>
      <c r="K153" s="387">
        <v>0</v>
      </c>
      <c r="L153" s="387">
        <v>0</v>
      </c>
      <c r="M153" s="387"/>
      <c r="N153" s="387" t="s">
        <v>736</v>
      </c>
      <c r="O153" s="387" t="s">
        <v>732</v>
      </c>
      <c r="P153" s="387">
        <v>0</v>
      </c>
      <c r="Q153" s="388">
        <v>37652.708333333336</v>
      </c>
      <c r="R153" s="390"/>
    </row>
    <row r="154" spans="1:18" ht="12.75" outlineLevel="4">
      <c r="A154" s="385" t="s">
        <v>1735</v>
      </c>
      <c r="B154" s="386" t="s">
        <v>1736</v>
      </c>
      <c r="C154" s="387">
        <v>0</v>
      </c>
      <c r="D154" s="387">
        <v>0</v>
      </c>
      <c r="E154" s="387">
        <v>0</v>
      </c>
      <c r="F154" s="387">
        <v>0</v>
      </c>
      <c r="G154" s="387">
        <v>0</v>
      </c>
      <c r="H154" s="387">
        <v>0</v>
      </c>
      <c r="I154" s="387">
        <v>0</v>
      </c>
      <c r="J154" s="387">
        <v>0</v>
      </c>
      <c r="K154" s="387">
        <v>0</v>
      </c>
      <c r="L154" s="387">
        <v>0</v>
      </c>
      <c r="M154" s="387"/>
      <c r="N154" s="387" t="s">
        <v>736</v>
      </c>
      <c r="O154" s="387" t="s">
        <v>732</v>
      </c>
      <c r="P154" s="387">
        <v>0</v>
      </c>
      <c r="Q154" s="388">
        <v>37666.708333333336</v>
      </c>
      <c r="R154" s="390"/>
    </row>
    <row r="155" spans="1:18" ht="12.75" outlineLevel="4">
      <c r="A155" s="385" t="s">
        <v>1737</v>
      </c>
      <c r="B155" s="386" t="s">
        <v>1795</v>
      </c>
      <c r="C155" s="387">
        <v>0</v>
      </c>
      <c r="D155" s="387">
        <v>0</v>
      </c>
      <c r="E155" s="387">
        <v>0</v>
      </c>
      <c r="F155" s="387">
        <v>0</v>
      </c>
      <c r="G155" s="387">
        <v>0</v>
      </c>
      <c r="H155" s="387">
        <v>0</v>
      </c>
      <c r="I155" s="387">
        <v>0</v>
      </c>
      <c r="J155" s="387">
        <v>0</v>
      </c>
      <c r="K155" s="387">
        <v>0</v>
      </c>
      <c r="L155" s="387">
        <v>0</v>
      </c>
      <c r="M155" s="387"/>
      <c r="N155" s="387" t="s">
        <v>736</v>
      </c>
      <c r="O155" s="387" t="s">
        <v>732</v>
      </c>
      <c r="P155" s="387">
        <v>0</v>
      </c>
      <c r="Q155" s="388">
        <v>37729.708333333336</v>
      </c>
      <c r="R155" s="390"/>
    </row>
    <row r="156" spans="1:18" ht="12.75" outlineLevel="3">
      <c r="A156" s="380" t="s">
        <v>569</v>
      </c>
      <c r="B156" s="381" t="s">
        <v>769</v>
      </c>
      <c r="C156" s="382">
        <v>0</v>
      </c>
      <c r="D156" s="382">
        <v>0</v>
      </c>
      <c r="E156" s="382">
        <v>0</v>
      </c>
      <c r="F156" s="382">
        <v>0</v>
      </c>
      <c r="G156" s="382"/>
      <c r="H156" s="382"/>
      <c r="I156" s="382"/>
      <c r="J156" s="382"/>
      <c r="K156" s="382"/>
      <c r="L156" s="382"/>
      <c r="M156" s="382">
        <f>K156-L156</f>
        <v>0</v>
      </c>
      <c r="N156" s="382" t="s">
        <v>768</v>
      </c>
      <c r="O156" s="382" t="s">
        <v>732</v>
      </c>
      <c r="P156" s="382">
        <v>100</v>
      </c>
      <c r="Q156" s="383">
        <v>35935.708333333336</v>
      </c>
      <c r="R156" s="384"/>
    </row>
    <row r="157" spans="1:18" ht="12.75" outlineLevel="3">
      <c r="A157" s="380" t="s">
        <v>1738</v>
      </c>
      <c r="B157" s="381" t="s">
        <v>1739</v>
      </c>
      <c r="C157" s="382">
        <f>0+C158+C159+C160+C161</f>
        <v>0</v>
      </c>
      <c r="D157" s="382">
        <f>0+D158+D159+D160+D161</f>
        <v>0</v>
      </c>
      <c r="E157" s="382">
        <f>0+E158+E159+E160+E161</f>
        <v>0</v>
      </c>
      <c r="F157" s="382">
        <f>0+F158+F159+F160+F161</f>
        <v>0</v>
      </c>
      <c r="G157" s="382">
        <f>F157+E157</f>
        <v>0</v>
      </c>
      <c r="H157" s="382">
        <f>D157-C157</f>
        <v>0</v>
      </c>
      <c r="I157" s="382">
        <f>D157-E157</f>
        <v>0</v>
      </c>
      <c r="J157" s="382">
        <f>+J158+J159+J160+J161</f>
        <v>45000</v>
      </c>
      <c r="K157" s="382">
        <f>+K158+K159+K160+K161</f>
        <v>48318.06421279907</v>
      </c>
      <c r="L157" s="382">
        <f>+L158+L159+L160+L161</f>
        <v>48318.06421279907</v>
      </c>
      <c r="M157" s="382">
        <f>K157-L157</f>
        <v>0</v>
      </c>
      <c r="N157" s="382" t="s">
        <v>770</v>
      </c>
      <c r="O157" s="382" t="s">
        <v>732</v>
      </c>
      <c r="P157" s="382">
        <v>0</v>
      </c>
      <c r="Q157" s="383">
        <v>37729.708333333336</v>
      </c>
      <c r="R157" s="384"/>
    </row>
    <row r="158" spans="1:18" ht="12.75" outlineLevel="4">
      <c r="A158" s="385" t="s">
        <v>1740</v>
      </c>
      <c r="B158" s="386" t="s">
        <v>1741</v>
      </c>
      <c r="C158" s="387">
        <v>0</v>
      </c>
      <c r="D158" s="387">
        <v>0</v>
      </c>
      <c r="E158" s="387">
        <v>0</v>
      </c>
      <c r="F158" s="387">
        <v>0</v>
      </c>
      <c r="G158" s="387">
        <v>0</v>
      </c>
      <c r="H158" s="387">
        <v>0</v>
      </c>
      <c r="I158" s="387">
        <v>0</v>
      </c>
      <c r="J158" s="387">
        <v>45000</v>
      </c>
      <c r="K158" s="387">
        <v>48318.06421279907</v>
      </c>
      <c r="L158" s="387">
        <v>48318.06421279907</v>
      </c>
      <c r="M158" s="387"/>
      <c r="N158" s="387" t="s">
        <v>737</v>
      </c>
      <c r="O158" s="387" t="s">
        <v>732</v>
      </c>
      <c r="P158" s="387">
        <v>0</v>
      </c>
      <c r="Q158" s="388">
        <v>37729.708333333336</v>
      </c>
      <c r="R158" s="390"/>
    </row>
    <row r="159" spans="1:18" ht="12.75" outlineLevel="4">
      <c r="A159" s="385" t="s">
        <v>1742</v>
      </c>
      <c r="B159" s="386" t="s">
        <v>1743</v>
      </c>
      <c r="C159" s="387">
        <v>0</v>
      </c>
      <c r="D159" s="387">
        <v>0</v>
      </c>
      <c r="E159" s="387">
        <v>0</v>
      </c>
      <c r="F159" s="387">
        <v>0</v>
      </c>
      <c r="G159" s="387">
        <v>0</v>
      </c>
      <c r="H159" s="387">
        <v>0</v>
      </c>
      <c r="I159" s="387">
        <v>0</v>
      </c>
      <c r="J159" s="387">
        <v>0</v>
      </c>
      <c r="K159" s="387">
        <v>0</v>
      </c>
      <c r="L159" s="387">
        <v>0</v>
      </c>
      <c r="M159" s="387"/>
      <c r="N159" s="387" t="s">
        <v>737</v>
      </c>
      <c r="O159" s="387" t="s">
        <v>732</v>
      </c>
      <c r="P159" s="387">
        <v>0</v>
      </c>
      <c r="Q159" s="388">
        <v>37652.708333333336</v>
      </c>
      <c r="R159" s="390"/>
    </row>
    <row r="160" spans="1:18" ht="12.75" outlineLevel="4">
      <c r="A160" s="385" t="s">
        <v>1744</v>
      </c>
      <c r="B160" s="386" t="s">
        <v>1745</v>
      </c>
      <c r="C160" s="387">
        <v>0</v>
      </c>
      <c r="D160" s="387">
        <v>0</v>
      </c>
      <c r="E160" s="387">
        <v>0</v>
      </c>
      <c r="F160" s="387">
        <v>0</v>
      </c>
      <c r="G160" s="387">
        <v>0</v>
      </c>
      <c r="H160" s="387">
        <v>0</v>
      </c>
      <c r="I160" s="387">
        <v>0</v>
      </c>
      <c r="J160" s="387">
        <v>0</v>
      </c>
      <c r="K160" s="387">
        <v>0</v>
      </c>
      <c r="L160" s="387">
        <v>0</v>
      </c>
      <c r="M160" s="387"/>
      <c r="N160" s="387" t="s">
        <v>737</v>
      </c>
      <c r="O160" s="387" t="s">
        <v>732</v>
      </c>
      <c r="P160" s="387">
        <v>0</v>
      </c>
      <c r="Q160" s="388">
        <v>37666.708333333336</v>
      </c>
      <c r="R160" s="390"/>
    </row>
    <row r="161" spans="1:18" ht="12.75" outlineLevel="4">
      <c r="A161" s="385" t="s">
        <v>1746</v>
      </c>
      <c r="B161" s="386" t="s">
        <v>1795</v>
      </c>
      <c r="C161" s="387">
        <v>0</v>
      </c>
      <c r="D161" s="387">
        <v>0</v>
      </c>
      <c r="E161" s="387">
        <v>0</v>
      </c>
      <c r="F161" s="387">
        <v>0</v>
      </c>
      <c r="G161" s="387">
        <v>0</v>
      </c>
      <c r="H161" s="387">
        <v>0</v>
      </c>
      <c r="I161" s="387">
        <v>0</v>
      </c>
      <c r="J161" s="387">
        <v>0</v>
      </c>
      <c r="K161" s="387">
        <v>0</v>
      </c>
      <c r="L161" s="387">
        <v>0</v>
      </c>
      <c r="M161" s="387"/>
      <c r="N161" s="387" t="s">
        <v>737</v>
      </c>
      <c r="O161" s="387" t="s">
        <v>732</v>
      </c>
      <c r="P161" s="387">
        <v>0</v>
      </c>
      <c r="Q161" s="388">
        <v>37729.708333333336</v>
      </c>
      <c r="R161" s="390"/>
    </row>
    <row r="162" spans="1:18" ht="12.75" outlineLevel="3">
      <c r="A162" s="380" t="s">
        <v>1747</v>
      </c>
      <c r="B162" s="381" t="s">
        <v>1829</v>
      </c>
      <c r="C162" s="382">
        <f>0+C163+C164+C165</f>
        <v>0</v>
      </c>
      <c r="D162" s="382">
        <f>0+D163+D164+D165</f>
        <v>0</v>
      </c>
      <c r="E162" s="382">
        <f>0+E163+E164+E165</f>
        <v>0</v>
      </c>
      <c r="F162" s="382">
        <f>0+F163+F164+F165</f>
        <v>0</v>
      </c>
      <c r="G162" s="382">
        <f>F162+E162</f>
        <v>0</v>
      </c>
      <c r="H162" s="382">
        <f>D162-C162</f>
        <v>0</v>
      </c>
      <c r="I162" s="382">
        <f>D162-E162</f>
        <v>0</v>
      </c>
      <c r="J162" s="382">
        <f>+J163+J164+J165</f>
        <v>22000</v>
      </c>
      <c r="K162" s="382">
        <f>+K163+K164+K165</f>
        <v>23622.164726257324</v>
      </c>
      <c r="L162" s="382">
        <f>+L163+L164+L165</f>
        <v>23622.164726257324</v>
      </c>
      <c r="M162" s="382">
        <f>K162-L162</f>
        <v>0</v>
      </c>
      <c r="N162" s="382" t="s">
        <v>768</v>
      </c>
      <c r="O162" s="382" t="s">
        <v>732</v>
      </c>
      <c r="P162" s="382">
        <v>0</v>
      </c>
      <c r="Q162" s="383">
        <v>37778.708333333336</v>
      </c>
      <c r="R162" s="384"/>
    </row>
    <row r="163" spans="1:18" ht="12.75" outlineLevel="4">
      <c r="A163" s="385" t="s">
        <v>1748</v>
      </c>
      <c r="B163" s="386" t="s">
        <v>1749</v>
      </c>
      <c r="C163" s="387">
        <v>0</v>
      </c>
      <c r="D163" s="387">
        <v>0</v>
      </c>
      <c r="E163" s="387">
        <v>0</v>
      </c>
      <c r="F163" s="387">
        <v>0</v>
      </c>
      <c r="G163" s="387">
        <v>0</v>
      </c>
      <c r="H163" s="387">
        <v>0</v>
      </c>
      <c r="I163" s="387">
        <v>0</v>
      </c>
      <c r="J163" s="387">
        <v>22000</v>
      </c>
      <c r="K163" s="387">
        <v>23622.164726257324</v>
      </c>
      <c r="L163" s="387">
        <v>23622.164726257324</v>
      </c>
      <c r="M163" s="387"/>
      <c r="N163" s="387" t="s">
        <v>780</v>
      </c>
      <c r="O163" s="387" t="s">
        <v>732</v>
      </c>
      <c r="P163" s="387">
        <v>0</v>
      </c>
      <c r="Q163" s="388">
        <v>37736.708333333336</v>
      </c>
      <c r="R163" s="390"/>
    </row>
    <row r="164" spans="1:18" ht="12.75" outlineLevel="4">
      <c r="A164" s="385" t="s">
        <v>1750</v>
      </c>
      <c r="B164" s="386" t="s">
        <v>1751</v>
      </c>
      <c r="C164" s="387">
        <v>0</v>
      </c>
      <c r="D164" s="387">
        <v>0</v>
      </c>
      <c r="E164" s="387">
        <v>0</v>
      </c>
      <c r="F164" s="387">
        <v>0</v>
      </c>
      <c r="G164" s="387">
        <v>0</v>
      </c>
      <c r="H164" s="387">
        <v>0</v>
      </c>
      <c r="I164" s="387">
        <v>0</v>
      </c>
      <c r="J164" s="387">
        <v>0</v>
      </c>
      <c r="K164" s="387">
        <v>0</v>
      </c>
      <c r="L164" s="387">
        <v>0</v>
      </c>
      <c r="M164" s="387"/>
      <c r="N164" s="387" t="s">
        <v>736</v>
      </c>
      <c r="O164" s="387" t="s">
        <v>732</v>
      </c>
      <c r="P164" s="387">
        <v>0</v>
      </c>
      <c r="Q164" s="388">
        <v>37764.708333333336</v>
      </c>
      <c r="R164" s="390"/>
    </row>
    <row r="165" spans="1:18" ht="12.75" outlineLevel="4">
      <c r="A165" s="385" t="s">
        <v>1752</v>
      </c>
      <c r="B165" s="386" t="s">
        <v>1753</v>
      </c>
      <c r="C165" s="387">
        <v>0</v>
      </c>
      <c r="D165" s="387">
        <v>0</v>
      </c>
      <c r="E165" s="387">
        <v>0</v>
      </c>
      <c r="F165" s="387">
        <v>0</v>
      </c>
      <c r="G165" s="387">
        <v>0</v>
      </c>
      <c r="H165" s="387">
        <v>0</v>
      </c>
      <c r="I165" s="387">
        <v>0</v>
      </c>
      <c r="J165" s="387">
        <v>0</v>
      </c>
      <c r="K165" s="387">
        <v>0</v>
      </c>
      <c r="L165" s="387">
        <v>0</v>
      </c>
      <c r="M165" s="387"/>
      <c r="N165" s="387" t="s">
        <v>736</v>
      </c>
      <c r="O165" s="387" t="s">
        <v>732</v>
      </c>
      <c r="P165" s="387">
        <v>0</v>
      </c>
      <c r="Q165" s="388">
        <v>37778.708333333336</v>
      </c>
      <c r="R165" s="390"/>
    </row>
    <row r="166" spans="1:18" ht="12.75" outlineLevel="3">
      <c r="A166" s="401" t="s">
        <v>1754</v>
      </c>
      <c r="B166" s="402" t="s">
        <v>1755</v>
      </c>
      <c r="C166" s="387">
        <v>0</v>
      </c>
      <c r="D166" s="387">
        <v>0</v>
      </c>
      <c r="E166" s="387">
        <v>0</v>
      </c>
      <c r="F166" s="387">
        <v>0</v>
      </c>
      <c r="G166" s="387">
        <v>0</v>
      </c>
      <c r="H166" s="387">
        <v>0</v>
      </c>
      <c r="I166" s="387">
        <v>0</v>
      </c>
      <c r="J166" s="387">
        <v>6000</v>
      </c>
      <c r="K166" s="387">
        <v>6603.468418121338</v>
      </c>
      <c r="L166" s="387">
        <v>6603.468418121338</v>
      </c>
      <c r="M166" s="387"/>
      <c r="N166" s="387" t="s">
        <v>736</v>
      </c>
      <c r="O166" s="387" t="s">
        <v>732</v>
      </c>
      <c r="P166" s="387">
        <v>0</v>
      </c>
      <c r="Q166" s="388">
        <v>38518.708333333336</v>
      </c>
      <c r="R166" s="390"/>
    </row>
    <row r="167" spans="1:18" ht="12.75" outlineLevel="3">
      <c r="A167" s="380" t="s">
        <v>570</v>
      </c>
      <c r="B167" s="381" t="s">
        <v>571</v>
      </c>
      <c r="C167" s="382">
        <v>0</v>
      </c>
      <c r="D167" s="382">
        <v>0</v>
      </c>
      <c r="E167" s="382">
        <v>0</v>
      </c>
      <c r="F167" s="382">
        <v>0</v>
      </c>
      <c r="G167" s="382"/>
      <c r="H167" s="382"/>
      <c r="I167" s="382"/>
      <c r="J167" s="382"/>
      <c r="K167" s="382"/>
      <c r="L167" s="382"/>
      <c r="M167" s="382">
        <f>K167-L167</f>
        <v>0</v>
      </c>
      <c r="N167" s="382" t="s">
        <v>768</v>
      </c>
      <c r="O167" s="382" t="s">
        <v>732</v>
      </c>
      <c r="P167" s="382">
        <v>100</v>
      </c>
      <c r="Q167" s="383">
        <v>35773.708333333336</v>
      </c>
      <c r="R167" s="384"/>
    </row>
    <row r="168" spans="1:18" ht="12.75" outlineLevel="3">
      <c r="A168" s="380" t="s">
        <v>1756</v>
      </c>
      <c r="B168" s="381" t="s">
        <v>1757</v>
      </c>
      <c r="C168" s="382">
        <f>0+C169+C170+C171</f>
        <v>0</v>
      </c>
      <c r="D168" s="382">
        <f>0+D169+D170+D171</f>
        <v>0</v>
      </c>
      <c r="E168" s="382">
        <f>0+E169+E170+E171</f>
        <v>0</v>
      </c>
      <c r="F168" s="382">
        <f>0+F169+F170+F171</f>
        <v>0</v>
      </c>
      <c r="G168" s="382">
        <f>F168+E168</f>
        <v>0</v>
      </c>
      <c r="H168" s="382">
        <f>D168-C168</f>
        <v>0</v>
      </c>
      <c r="I168" s="382">
        <f>D168-E168</f>
        <v>0</v>
      </c>
      <c r="J168" s="382">
        <f>+J169+J170+J171</f>
        <v>0</v>
      </c>
      <c r="K168" s="382">
        <f>+K169+K170+K171</f>
        <v>0</v>
      </c>
      <c r="L168" s="382">
        <f>+L169+L170+L171</f>
        <v>0</v>
      </c>
      <c r="M168" s="382">
        <f>K168-L168</f>
        <v>0</v>
      </c>
      <c r="N168" s="382" t="s">
        <v>768</v>
      </c>
      <c r="O168" s="382" t="s">
        <v>732</v>
      </c>
      <c r="P168" s="382">
        <v>0</v>
      </c>
      <c r="Q168" s="383">
        <v>37813.708333333336</v>
      </c>
      <c r="R168" s="384"/>
    </row>
    <row r="169" spans="1:18" ht="12.75" outlineLevel="4">
      <c r="A169" s="385" t="s">
        <v>1758</v>
      </c>
      <c r="B169" s="386" t="s">
        <v>1759</v>
      </c>
      <c r="C169" s="387">
        <v>0</v>
      </c>
      <c r="D169" s="387">
        <v>0</v>
      </c>
      <c r="E169" s="387">
        <v>0</v>
      </c>
      <c r="F169" s="387">
        <v>0</v>
      </c>
      <c r="G169" s="387">
        <v>0</v>
      </c>
      <c r="H169" s="387">
        <v>0</v>
      </c>
      <c r="I169" s="387">
        <v>0</v>
      </c>
      <c r="J169" s="387">
        <v>0</v>
      </c>
      <c r="K169" s="387">
        <v>0</v>
      </c>
      <c r="L169" s="387">
        <v>0</v>
      </c>
      <c r="M169" s="387"/>
      <c r="N169" s="387" t="s">
        <v>736</v>
      </c>
      <c r="O169" s="387" t="s">
        <v>732</v>
      </c>
      <c r="P169" s="387">
        <v>0</v>
      </c>
      <c r="Q169" s="388">
        <v>37799.708333333336</v>
      </c>
      <c r="R169" s="390"/>
    </row>
    <row r="170" spans="1:18" ht="12.75" outlineLevel="4">
      <c r="A170" s="385" t="s">
        <v>1760</v>
      </c>
      <c r="B170" s="386" t="s">
        <v>1761</v>
      </c>
      <c r="C170" s="387">
        <v>0</v>
      </c>
      <c r="D170" s="387">
        <v>0</v>
      </c>
      <c r="E170" s="387">
        <v>0</v>
      </c>
      <c r="F170" s="387">
        <v>0</v>
      </c>
      <c r="G170" s="387">
        <v>0</v>
      </c>
      <c r="H170" s="387">
        <v>0</v>
      </c>
      <c r="I170" s="387">
        <v>0</v>
      </c>
      <c r="J170" s="387">
        <v>0</v>
      </c>
      <c r="K170" s="387">
        <v>0</v>
      </c>
      <c r="L170" s="387">
        <v>0</v>
      </c>
      <c r="M170" s="387"/>
      <c r="N170" s="387" t="s">
        <v>736</v>
      </c>
      <c r="O170" s="387" t="s">
        <v>732</v>
      </c>
      <c r="P170" s="387">
        <v>0</v>
      </c>
      <c r="Q170" s="388">
        <v>37813.708333333336</v>
      </c>
      <c r="R170" s="390"/>
    </row>
    <row r="171" spans="1:18" ht="12.75" outlineLevel="4">
      <c r="A171" s="385" t="s">
        <v>572</v>
      </c>
      <c r="B171" s="386" t="s">
        <v>573</v>
      </c>
      <c r="C171" s="387">
        <v>0</v>
      </c>
      <c r="D171" s="387">
        <v>0</v>
      </c>
      <c r="E171" s="387">
        <v>0</v>
      </c>
      <c r="F171" s="387">
        <v>0</v>
      </c>
      <c r="G171" s="387">
        <v>0</v>
      </c>
      <c r="H171" s="387">
        <v>0</v>
      </c>
      <c r="I171" s="387">
        <v>0</v>
      </c>
      <c r="J171" s="387">
        <v>0</v>
      </c>
      <c r="K171" s="387">
        <v>0</v>
      </c>
      <c r="L171" s="387">
        <v>0</v>
      </c>
      <c r="M171" s="387"/>
      <c r="N171" s="387" t="s">
        <v>737</v>
      </c>
      <c r="O171" s="387" t="s">
        <v>732</v>
      </c>
      <c r="P171" s="387">
        <v>0</v>
      </c>
      <c r="Q171" s="388">
        <v>37466.708333333336</v>
      </c>
      <c r="R171" s="390"/>
    </row>
    <row r="172" spans="1:18" ht="12.75" outlineLevel="3">
      <c r="A172" s="380" t="s">
        <v>1762</v>
      </c>
      <c r="B172" s="381" t="s">
        <v>10</v>
      </c>
      <c r="C172" s="382">
        <f>0+C173+C174</f>
        <v>0</v>
      </c>
      <c r="D172" s="382">
        <f>0+D173+D174</f>
        <v>0</v>
      </c>
      <c r="E172" s="382">
        <f>0+E173+E174</f>
        <v>0</v>
      </c>
      <c r="F172" s="382">
        <f>0+F173+F174</f>
        <v>0</v>
      </c>
      <c r="G172" s="382">
        <f>F172+E172</f>
        <v>0</v>
      </c>
      <c r="H172" s="382">
        <f>D172-C172</f>
        <v>0</v>
      </c>
      <c r="I172" s="382">
        <f>D172-E172</f>
        <v>0</v>
      </c>
      <c r="J172" s="382">
        <f>+J173+J174</f>
        <v>0</v>
      </c>
      <c r="K172" s="382">
        <f>+K173+K174</f>
        <v>0</v>
      </c>
      <c r="L172" s="382">
        <f>+L173+L174</f>
        <v>0</v>
      </c>
      <c r="M172" s="382">
        <f>K172-L172</f>
        <v>0</v>
      </c>
      <c r="N172" s="382" t="s">
        <v>768</v>
      </c>
      <c r="O172" s="382" t="s">
        <v>732</v>
      </c>
      <c r="P172" s="382">
        <v>0</v>
      </c>
      <c r="Q172" s="383">
        <v>37813.708333333336</v>
      </c>
      <c r="R172" s="384"/>
    </row>
    <row r="173" spans="1:18" ht="12.75" outlineLevel="4">
      <c r="A173" s="385" t="s">
        <v>1763</v>
      </c>
      <c r="B173" s="386" t="s">
        <v>12</v>
      </c>
      <c r="C173" s="387">
        <v>0</v>
      </c>
      <c r="D173" s="387">
        <v>0</v>
      </c>
      <c r="E173" s="387">
        <v>0</v>
      </c>
      <c r="F173" s="387">
        <v>0</v>
      </c>
      <c r="G173" s="387">
        <v>0</v>
      </c>
      <c r="H173" s="387">
        <v>0</v>
      </c>
      <c r="I173" s="387">
        <v>0</v>
      </c>
      <c r="J173" s="387">
        <v>0</v>
      </c>
      <c r="K173" s="387">
        <v>0</v>
      </c>
      <c r="L173" s="387">
        <v>0</v>
      </c>
      <c r="M173" s="387"/>
      <c r="N173" s="387" t="s">
        <v>736</v>
      </c>
      <c r="O173" s="387" t="s">
        <v>732</v>
      </c>
      <c r="P173" s="387">
        <v>0</v>
      </c>
      <c r="Q173" s="388">
        <v>37799.708333333336</v>
      </c>
      <c r="R173" s="390"/>
    </row>
    <row r="174" spans="1:18" ht="12.75" outlineLevel="4">
      <c r="A174" s="385" t="s">
        <v>1764</v>
      </c>
      <c r="B174" s="386" t="s">
        <v>14</v>
      </c>
      <c r="C174" s="387">
        <v>0</v>
      </c>
      <c r="D174" s="387">
        <v>0</v>
      </c>
      <c r="E174" s="387">
        <v>0</v>
      </c>
      <c r="F174" s="387">
        <v>0</v>
      </c>
      <c r="G174" s="387">
        <v>0</v>
      </c>
      <c r="H174" s="387">
        <v>0</v>
      </c>
      <c r="I174" s="387">
        <v>0</v>
      </c>
      <c r="J174" s="387">
        <v>0</v>
      </c>
      <c r="K174" s="387">
        <v>0</v>
      </c>
      <c r="L174" s="387">
        <v>0</v>
      </c>
      <c r="M174" s="387"/>
      <c r="N174" s="387" t="s">
        <v>736</v>
      </c>
      <c r="O174" s="387" t="s">
        <v>732</v>
      </c>
      <c r="P174" s="387">
        <v>0</v>
      </c>
      <c r="Q174" s="388">
        <v>37813.708333333336</v>
      </c>
      <c r="R174" s="390"/>
    </row>
    <row r="175" spans="1:18" ht="12.75" outlineLevel="3">
      <c r="A175" s="380" t="s">
        <v>1765</v>
      </c>
      <c r="B175" s="381" t="s">
        <v>1586</v>
      </c>
      <c r="C175" s="382">
        <f>0+C176+C177+C178+C179</f>
        <v>0</v>
      </c>
      <c r="D175" s="382">
        <f>0+D176+D177+D178+D179</f>
        <v>0</v>
      </c>
      <c r="E175" s="382">
        <f>0+E176+E177+E178+E179</f>
        <v>0</v>
      </c>
      <c r="F175" s="382">
        <f>0+F176+F177+F178+F179</f>
        <v>0</v>
      </c>
      <c r="G175" s="382">
        <f>F175+E175</f>
        <v>0</v>
      </c>
      <c r="H175" s="382">
        <f>D175-C175</f>
        <v>0</v>
      </c>
      <c r="I175" s="382">
        <f>D175-E175</f>
        <v>0</v>
      </c>
      <c r="J175" s="382">
        <f>+J176+J177+J178+J179</f>
        <v>7500</v>
      </c>
      <c r="K175" s="382">
        <f>+K176+K177+K178+K179</f>
        <v>8053.010702133179</v>
      </c>
      <c r="L175" s="382">
        <f>+L176+L177+L178+L179</f>
        <v>8053.010702133179</v>
      </c>
      <c r="M175" s="382">
        <f>K175-L175</f>
        <v>0</v>
      </c>
      <c r="N175" s="382" t="s">
        <v>742</v>
      </c>
      <c r="O175" s="382" t="s">
        <v>732</v>
      </c>
      <c r="P175" s="382">
        <v>0</v>
      </c>
      <c r="Q175" s="383">
        <v>37806.708333333336</v>
      </c>
      <c r="R175" s="384"/>
    </row>
    <row r="176" spans="1:18" ht="12.75" outlineLevel="4">
      <c r="A176" s="385" t="s">
        <v>1766</v>
      </c>
      <c r="B176" s="386" t="s">
        <v>1525</v>
      </c>
      <c r="C176" s="387">
        <v>0</v>
      </c>
      <c r="D176" s="387">
        <v>0</v>
      </c>
      <c r="E176" s="387">
        <v>0</v>
      </c>
      <c r="F176" s="387">
        <v>0</v>
      </c>
      <c r="G176" s="387">
        <v>0</v>
      </c>
      <c r="H176" s="387">
        <v>0</v>
      </c>
      <c r="I176" s="387">
        <v>0</v>
      </c>
      <c r="J176" s="387">
        <v>7500</v>
      </c>
      <c r="K176" s="387">
        <v>8053.010702133179</v>
      </c>
      <c r="L176" s="387">
        <v>8053.010702133179</v>
      </c>
      <c r="M176" s="387"/>
      <c r="N176" s="387" t="s">
        <v>344</v>
      </c>
      <c r="O176" s="387" t="s">
        <v>732</v>
      </c>
      <c r="P176" s="387">
        <v>0</v>
      </c>
      <c r="Q176" s="388">
        <v>37764.708333333336</v>
      </c>
      <c r="R176" s="390"/>
    </row>
    <row r="177" spans="1:18" ht="12.75" outlineLevel="4">
      <c r="A177" s="385" t="s">
        <v>1768</v>
      </c>
      <c r="B177" s="386" t="s">
        <v>1588</v>
      </c>
      <c r="C177" s="387">
        <v>0</v>
      </c>
      <c r="D177" s="387">
        <v>0</v>
      </c>
      <c r="E177" s="387">
        <v>0</v>
      </c>
      <c r="F177" s="387">
        <v>0</v>
      </c>
      <c r="G177" s="387">
        <v>0</v>
      </c>
      <c r="H177" s="387">
        <v>0</v>
      </c>
      <c r="I177" s="387">
        <v>0</v>
      </c>
      <c r="J177" s="387">
        <v>0</v>
      </c>
      <c r="K177" s="387">
        <v>0</v>
      </c>
      <c r="L177" s="387">
        <v>0</v>
      </c>
      <c r="M177" s="387"/>
      <c r="N177" s="387" t="s">
        <v>344</v>
      </c>
      <c r="O177" s="387" t="s">
        <v>732</v>
      </c>
      <c r="P177" s="387">
        <v>0</v>
      </c>
      <c r="Q177" s="388">
        <v>37792.708333333336</v>
      </c>
      <c r="R177" s="390"/>
    </row>
    <row r="178" spans="1:18" ht="12.75" outlineLevel="4">
      <c r="A178" s="385" t="s">
        <v>1769</v>
      </c>
      <c r="B178" s="386" t="s">
        <v>1589</v>
      </c>
      <c r="C178" s="387">
        <v>0</v>
      </c>
      <c r="D178" s="387">
        <v>0</v>
      </c>
      <c r="E178" s="387">
        <v>0</v>
      </c>
      <c r="F178" s="387">
        <v>0</v>
      </c>
      <c r="G178" s="387">
        <v>0</v>
      </c>
      <c r="H178" s="387">
        <v>0</v>
      </c>
      <c r="I178" s="387">
        <v>0</v>
      </c>
      <c r="J178" s="387">
        <v>0</v>
      </c>
      <c r="K178" s="387">
        <v>0</v>
      </c>
      <c r="L178" s="387">
        <v>0</v>
      </c>
      <c r="M178" s="387"/>
      <c r="N178" s="387" t="s">
        <v>344</v>
      </c>
      <c r="O178" s="387" t="s">
        <v>732</v>
      </c>
      <c r="P178" s="387">
        <v>0</v>
      </c>
      <c r="Q178" s="388">
        <v>37806.708333333336</v>
      </c>
      <c r="R178" s="390"/>
    </row>
    <row r="179" spans="1:18" ht="12.75" outlineLevel="4">
      <c r="A179" s="385" t="s">
        <v>1770</v>
      </c>
      <c r="B179" s="386" t="s">
        <v>1795</v>
      </c>
      <c r="C179" s="387">
        <v>0</v>
      </c>
      <c r="D179" s="387">
        <v>0</v>
      </c>
      <c r="E179" s="387">
        <v>0</v>
      </c>
      <c r="F179" s="387">
        <v>0</v>
      </c>
      <c r="G179" s="387">
        <v>0</v>
      </c>
      <c r="H179" s="387">
        <v>0</v>
      </c>
      <c r="I179" s="387">
        <v>0</v>
      </c>
      <c r="J179" s="387">
        <v>0</v>
      </c>
      <c r="K179" s="387">
        <v>0</v>
      </c>
      <c r="L179" s="387">
        <v>0</v>
      </c>
      <c r="M179" s="387"/>
      <c r="N179" s="387" t="s">
        <v>344</v>
      </c>
      <c r="O179" s="387" t="s">
        <v>732</v>
      </c>
      <c r="P179" s="387">
        <v>0</v>
      </c>
      <c r="Q179" s="388">
        <v>37729.708333333336</v>
      </c>
      <c r="R179" s="390"/>
    </row>
    <row r="180" spans="1:18" ht="12.75" outlineLevel="1">
      <c r="A180" s="370">
        <v>2.3</v>
      </c>
      <c r="B180" s="371" t="s">
        <v>1772</v>
      </c>
      <c r="C180" s="372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 t="s">
        <v>574</v>
      </c>
      <c r="O180" s="372" t="s">
        <v>732</v>
      </c>
      <c r="P180" s="372">
        <v>22</v>
      </c>
      <c r="Q180" s="373">
        <v>38790.708333333336</v>
      </c>
      <c r="R180" s="374"/>
    </row>
    <row r="181" spans="1:18" ht="12.75" outlineLevel="2">
      <c r="A181" s="375" t="s">
        <v>1686</v>
      </c>
      <c r="B181" s="376" t="s">
        <v>1775</v>
      </c>
      <c r="C181" s="377">
        <f>0+C182+C186+C187+C192+C197+C198+C205</f>
        <v>0</v>
      </c>
      <c r="D181" s="377">
        <f>0+D182+D186+D187+D192+D197+D198+D205</f>
        <v>0</v>
      </c>
      <c r="E181" s="377">
        <f>0+E182+E186+E187+E192+E197+E198+E205</f>
        <v>0</v>
      </c>
      <c r="F181" s="377">
        <f>0+F182+F186+F187+F192+F197+F198+F205</f>
        <v>309564</v>
      </c>
      <c r="G181" s="377">
        <f>F181+E181</f>
        <v>309564</v>
      </c>
      <c r="H181" s="377">
        <f>D181-C181</f>
        <v>0</v>
      </c>
      <c r="I181" s="377">
        <f>D181-E181</f>
        <v>0</v>
      </c>
      <c r="J181" s="377">
        <f>+J182+J186+J187+J192+J197+J198+J205</f>
        <v>417936</v>
      </c>
      <c r="K181" s="377">
        <f>+K182+K186+K187+K192+K197+K198+K205</f>
        <v>448752.41077423096</v>
      </c>
      <c r="L181" s="377">
        <f>+L182+L186+L187+L192+L197+L198+L205</f>
        <v>448752.41077423096</v>
      </c>
      <c r="M181" s="377">
        <f>K181-L181</f>
        <v>0</v>
      </c>
      <c r="N181" s="377" t="s">
        <v>768</v>
      </c>
      <c r="O181" s="377" t="s">
        <v>732</v>
      </c>
      <c r="P181" s="377">
        <v>32</v>
      </c>
      <c r="Q181" s="378">
        <v>37903.63270833333</v>
      </c>
      <c r="R181" s="379"/>
    </row>
    <row r="182" spans="1:18" ht="12.75" outlineLevel="3">
      <c r="A182" s="380" t="s">
        <v>1687</v>
      </c>
      <c r="B182" s="381" t="s">
        <v>1730</v>
      </c>
      <c r="C182" s="382">
        <f>0+C183+C184+C185</f>
        <v>0</v>
      </c>
      <c r="D182" s="382">
        <f>0+D183+D184+D185</f>
        <v>0</v>
      </c>
      <c r="E182" s="382">
        <f>0+E183+E184+E185</f>
        <v>0</v>
      </c>
      <c r="F182" s="382">
        <f>0+F183+F184+F185</f>
        <v>303254</v>
      </c>
      <c r="G182" s="382">
        <f>F182+E182</f>
        <v>303254</v>
      </c>
      <c r="H182" s="382">
        <f>D182-C182</f>
        <v>0</v>
      </c>
      <c r="I182" s="382">
        <f>D182-E182</f>
        <v>0</v>
      </c>
      <c r="J182" s="382">
        <f>+J183+J184+J185</f>
        <v>315836</v>
      </c>
      <c r="K182" s="382">
        <f>+K183+K184+K185</f>
        <v>339124.0917491913</v>
      </c>
      <c r="L182" s="382">
        <f>+L183+L184+L185</f>
        <v>339124.0917491913</v>
      </c>
      <c r="M182" s="382">
        <f>K182-L182</f>
        <v>0</v>
      </c>
      <c r="N182" s="382" t="s">
        <v>768</v>
      </c>
      <c r="O182" s="382" t="s">
        <v>732</v>
      </c>
      <c r="P182" s="382">
        <v>29</v>
      </c>
      <c r="Q182" s="383">
        <v>37834.708333333336</v>
      </c>
      <c r="R182" s="384"/>
    </row>
    <row r="183" spans="1:18" ht="12.75" outlineLevel="4">
      <c r="A183" s="385" t="s">
        <v>1688</v>
      </c>
      <c r="B183" s="386" t="s">
        <v>1732</v>
      </c>
      <c r="C183" s="387">
        <v>0</v>
      </c>
      <c r="D183" s="387">
        <v>0</v>
      </c>
      <c r="E183" s="387">
        <v>0</v>
      </c>
      <c r="F183" s="387">
        <v>303254</v>
      </c>
      <c r="G183" s="387">
        <v>303254</v>
      </c>
      <c r="H183" s="387">
        <v>0</v>
      </c>
      <c r="I183" s="387">
        <v>0</v>
      </c>
      <c r="J183" s="387">
        <v>312686</v>
      </c>
      <c r="K183" s="387">
        <v>335741.82725429535</v>
      </c>
      <c r="L183" s="387">
        <v>335741.82725429535</v>
      </c>
      <c r="M183" s="387"/>
      <c r="N183" s="387" t="s">
        <v>736</v>
      </c>
      <c r="O183" s="387" t="s">
        <v>732</v>
      </c>
      <c r="P183" s="387">
        <v>0</v>
      </c>
      <c r="Q183" s="388">
        <v>37792.708333333336</v>
      </c>
      <c r="R183" s="390"/>
    </row>
    <row r="184" spans="1:18" ht="12.75" outlineLevel="4">
      <c r="A184" s="385" t="s">
        <v>1689</v>
      </c>
      <c r="B184" s="386" t="s">
        <v>1734</v>
      </c>
      <c r="C184" s="387">
        <v>0</v>
      </c>
      <c r="D184" s="387">
        <v>0</v>
      </c>
      <c r="E184" s="387">
        <v>0</v>
      </c>
      <c r="F184" s="387">
        <v>0</v>
      </c>
      <c r="G184" s="387">
        <v>0</v>
      </c>
      <c r="H184" s="387">
        <v>0</v>
      </c>
      <c r="I184" s="387">
        <v>0</v>
      </c>
      <c r="J184" s="387">
        <v>0</v>
      </c>
      <c r="K184" s="387">
        <v>0</v>
      </c>
      <c r="L184" s="387">
        <v>0</v>
      </c>
      <c r="M184" s="387"/>
      <c r="N184" s="387" t="s">
        <v>736</v>
      </c>
      <c r="O184" s="387" t="s">
        <v>732</v>
      </c>
      <c r="P184" s="387">
        <v>0</v>
      </c>
      <c r="Q184" s="388">
        <v>37820.708333333336</v>
      </c>
      <c r="R184" s="390"/>
    </row>
    <row r="185" spans="1:18" ht="12.75" outlineLevel="4">
      <c r="A185" s="385" t="s">
        <v>1690</v>
      </c>
      <c r="B185" s="386" t="s">
        <v>1691</v>
      </c>
      <c r="C185" s="387">
        <v>0</v>
      </c>
      <c r="D185" s="387">
        <v>0</v>
      </c>
      <c r="E185" s="387">
        <v>0</v>
      </c>
      <c r="F185" s="387">
        <v>0</v>
      </c>
      <c r="G185" s="387">
        <v>0</v>
      </c>
      <c r="H185" s="387">
        <v>0</v>
      </c>
      <c r="I185" s="387">
        <v>0</v>
      </c>
      <c r="J185" s="387">
        <v>3150</v>
      </c>
      <c r="K185" s="387">
        <v>3382.264494895935</v>
      </c>
      <c r="L185" s="387">
        <v>3382.264494895935</v>
      </c>
      <c r="M185" s="387"/>
      <c r="N185" s="387" t="s">
        <v>736</v>
      </c>
      <c r="O185" s="387" t="s">
        <v>732</v>
      </c>
      <c r="P185" s="387">
        <v>0</v>
      </c>
      <c r="Q185" s="388">
        <v>37834.708333333336</v>
      </c>
      <c r="R185" s="390"/>
    </row>
    <row r="186" spans="1:18" ht="12.75" outlineLevel="3">
      <c r="A186" s="380" t="s">
        <v>580</v>
      </c>
      <c r="B186" s="381" t="s">
        <v>769</v>
      </c>
      <c r="C186" s="382">
        <v>0</v>
      </c>
      <c r="D186" s="382">
        <v>0</v>
      </c>
      <c r="E186" s="382">
        <v>0</v>
      </c>
      <c r="F186" s="382">
        <v>0</v>
      </c>
      <c r="G186" s="382"/>
      <c r="H186" s="382"/>
      <c r="I186" s="382"/>
      <c r="J186" s="382"/>
      <c r="K186" s="382"/>
      <c r="L186" s="382"/>
      <c r="M186" s="382">
        <f>K186-L186</f>
        <v>0</v>
      </c>
      <c r="N186" s="382" t="s">
        <v>737</v>
      </c>
      <c r="O186" s="382" t="s">
        <v>732</v>
      </c>
      <c r="P186" s="382">
        <v>100</v>
      </c>
      <c r="Q186" s="383">
        <v>35823.708333333336</v>
      </c>
      <c r="R186" s="384"/>
    </row>
    <row r="187" spans="1:18" ht="12.75" outlineLevel="3">
      <c r="A187" s="380" t="s">
        <v>1692</v>
      </c>
      <c r="B187" s="381" t="s">
        <v>1739</v>
      </c>
      <c r="C187" s="382">
        <f>0+C188+C189+C190+C191</f>
        <v>0</v>
      </c>
      <c r="D187" s="382">
        <f>0+D188+D189+D190+D191</f>
        <v>0</v>
      </c>
      <c r="E187" s="382">
        <f>0+E188+E189+E190+E191</f>
        <v>0</v>
      </c>
      <c r="F187" s="382">
        <f>0+F188+F189+F190+F191</f>
        <v>0</v>
      </c>
      <c r="G187" s="382">
        <f>F187+E187</f>
        <v>0</v>
      </c>
      <c r="H187" s="382">
        <f>D187-C187</f>
        <v>0</v>
      </c>
      <c r="I187" s="382">
        <f>D187-E187</f>
        <v>0</v>
      </c>
      <c r="J187" s="382">
        <f>+J188+J189+J190+J191</f>
        <v>45000</v>
      </c>
      <c r="K187" s="382">
        <f>+K188+K189+K190+K191</f>
        <v>48318.06421279907</v>
      </c>
      <c r="L187" s="382">
        <f>+L188+L189+L190+L191</f>
        <v>48318.06421279907</v>
      </c>
      <c r="M187" s="382">
        <f>K187-L187</f>
        <v>0</v>
      </c>
      <c r="N187" s="382" t="s">
        <v>770</v>
      </c>
      <c r="O187" s="382" t="s">
        <v>732</v>
      </c>
      <c r="P187" s="382">
        <v>0</v>
      </c>
      <c r="Q187" s="383">
        <v>37771.708333333336</v>
      </c>
      <c r="R187" s="384"/>
    </row>
    <row r="188" spans="1:18" ht="12.75" outlineLevel="4">
      <c r="A188" s="385" t="s">
        <v>1693</v>
      </c>
      <c r="B188" s="386" t="s">
        <v>1741</v>
      </c>
      <c r="C188" s="387">
        <v>0</v>
      </c>
      <c r="D188" s="387">
        <v>0</v>
      </c>
      <c r="E188" s="387">
        <v>0</v>
      </c>
      <c r="F188" s="387">
        <v>0</v>
      </c>
      <c r="G188" s="387">
        <v>0</v>
      </c>
      <c r="H188" s="387">
        <v>0</v>
      </c>
      <c r="I188" s="387">
        <v>0</v>
      </c>
      <c r="J188" s="387">
        <v>45000</v>
      </c>
      <c r="K188" s="387">
        <v>48318.06421279907</v>
      </c>
      <c r="L188" s="387">
        <v>48318.06421279907</v>
      </c>
      <c r="M188" s="387"/>
      <c r="N188" s="387" t="s">
        <v>737</v>
      </c>
      <c r="O188" s="387" t="s">
        <v>732</v>
      </c>
      <c r="P188" s="387">
        <v>0</v>
      </c>
      <c r="Q188" s="388">
        <v>37729.708333333336</v>
      </c>
      <c r="R188" s="390"/>
    </row>
    <row r="189" spans="1:18" ht="12.75" outlineLevel="4">
      <c r="A189" s="385" t="s">
        <v>1694</v>
      </c>
      <c r="B189" s="386" t="s">
        <v>1743</v>
      </c>
      <c r="C189" s="387">
        <v>0</v>
      </c>
      <c r="D189" s="387">
        <v>0</v>
      </c>
      <c r="E189" s="387">
        <v>0</v>
      </c>
      <c r="F189" s="387">
        <v>0</v>
      </c>
      <c r="G189" s="387">
        <v>0</v>
      </c>
      <c r="H189" s="387">
        <v>0</v>
      </c>
      <c r="I189" s="387">
        <v>0</v>
      </c>
      <c r="J189" s="387">
        <v>0</v>
      </c>
      <c r="K189" s="387">
        <v>0</v>
      </c>
      <c r="L189" s="387">
        <v>0</v>
      </c>
      <c r="M189" s="387"/>
      <c r="N189" s="387" t="s">
        <v>737</v>
      </c>
      <c r="O189" s="387" t="s">
        <v>732</v>
      </c>
      <c r="P189" s="387">
        <v>0</v>
      </c>
      <c r="Q189" s="388">
        <v>37757.708333333336</v>
      </c>
      <c r="R189" s="390"/>
    </row>
    <row r="190" spans="1:18" ht="12.75" outlineLevel="4">
      <c r="A190" s="385" t="s">
        <v>1695</v>
      </c>
      <c r="B190" s="386" t="s">
        <v>1696</v>
      </c>
      <c r="C190" s="387">
        <v>0</v>
      </c>
      <c r="D190" s="387">
        <v>0</v>
      </c>
      <c r="E190" s="387">
        <v>0</v>
      </c>
      <c r="F190" s="387">
        <v>0</v>
      </c>
      <c r="G190" s="387">
        <v>0</v>
      </c>
      <c r="H190" s="387">
        <v>0</v>
      </c>
      <c r="I190" s="387">
        <v>0</v>
      </c>
      <c r="J190" s="387">
        <v>0</v>
      </c>
      <c r="K190" s="387">
        <v>0</v>
      </c>
      <c r="L190" s="387">
        <v>0</v>
      </c>
      <c r="M190" s="387"/>
      <c r="N190" s="387" t="s">
        <v>737</v>
      </c>
      <c r="O190" s="387" t="s">
        <v>732</v>
      </c>
      <c r="P190" s="387">
        <v>0</v>
      </c>
      <c r="Q190" s="388">
        <v>37771.708333333336</v>
      </c>
      <c r="R190" s="390"/>
    </row>
    <row r="191" spans="1:18" ht="12.75" outlineLevel="4">
      <c r="A191" s="385" t="s">
        <v>1697</v>
      </c>
      <c r="B191" s="386" t="s">
        <v>1795</v>
      </c>
      <c r="C191" s="387">
        <v>0</v>
      </c>
      <c r="D191" s="387">
        <v>0</v>
      </c>
      <c r="E191" s="387">
        <v>0</v>
      </c>
      <c r="F191" s="387">
        <v>0</v>
      </c>
      <c r="G191" s="387">
        <v>0</v>
      </c>
      <c r="H191" s="387">
        <v>0</v>
      </c>
      <c r="I191" s="387">
        <v>0</v>
      </c>
      <c r="J191" s="387">
        <v>0</v>
      </c>
      <c r="K191" s="387">
        <v>0</v>
      </c>
      <c r="L191" s="387">
        <v>0</v>
      </c>
      <c r="M191" s="387"/>
      <c r="N191" s="387" t="s">
        <v>736</v>
      </c>
      <c r="O191" s="387" t="s">
        <v>732</v>
      </c>
      <c r="P191" s="387">
        <v>0</v>
      </c>
      <c r="Q191" s="388">
        <v>37729.708333333336</v>
      </c>
      <c r="R191" s="390"/>
    </row>
    <row r="192" spans="1:18" ht="12.75" outlineLevel="3">
      <c r="A192" s="380" t="s">
        <v>1698</v>
      </c>
      <c r="B192" s="381" t="s">
        <v>1522</v>
      </c>
      <c r="C192" s="382">
        <f>0+C193+C194+C195+C196</f>
        <v>0</v>
      </c>
      <c r="D192" s="382">
        <f>0+D193+D194+D195+D196</f>
        <v>0</v>
      </c>
      <c r="E192" s="382">
        <f>0+E193+E194+E195+E196</f>
        <v>0</v>
      </c>
      <c r="F192" s="382">
        <f>0+F193+F194+F195+F196</f>
        <v>0</v>
      </c>
      <c r="G192" s="382">
        <f>F192+E192</f>
        <v>0</v>
      </c>
      <c r="H192" s="382">
        <f>D192-C192</f>
        <v>0</v>
      </c>
      <c r="I192" s="382">
        <f>D192-E192</f>
        <v>0</v>
      </c>
      <c r="J192" s="382">
        <f>+J193+J194+J195+J196</f>
        <v>22000</v>
      </c>
      <c r="K192" s="382">
        <f>+K193+K194+K195+K196</f>
        <v>23622.164726257324</v>
      </c>
      <c r="L192" s="382">
        <f>+L193+L194+L195+L196</f>
        <v>23622.164726257324</v>
      </c>
      <c r="M192" s="382">
        <f>K192-L192</f>
        <v>0</v>
      </c>
      <c r="N192" s="382" t="s">
        <v>768</v>
      </c>
      <c r="O192" s="382" t="s">
        <v>732</v>
      </c>
      <c r="P192" s="382">
        <v>0</v>
      </c>
      <c r="Q192" s="383">
        <v>37834.708333333336</v>
      </c>
      <c r="R192" s="384"/>
    </row>
    <row r="193" spans="1:18" ht="12.75" outlineLevel="4">
      <c r="A193" s="385" t="s">
        <v>1699</v>
      </c>
      <c r="B193" s="386" t="s">
        <v>1749</v>
      </c>
      <c r="C193" s="387">
        <v>0</v>
      </c>
      <c r="D193" s="387">
        <v>0</v>
      </c>
      <c r="E193" s="387">
        <v>0</v>
      </c>
      <c r="F193" s="387">
        <v>0</v>
      </c>
      <c r="G193" s="387">
        <v>0</v>
      </c>
      <c r="H193" s="387">
        <v>0</v>
      </c>
      <c r="I193" s="387">
        <v>0</v>
      </c>
      <c r="J193" s="387">
        <v>22000</v>
      </c>
      <c r="K193" s="387">
        <v>23622.164726257324</v>
      </c>
      <c r="L193" s="387">
        <v>23622.164726257324</v>
      </c>
      <c r="M193" s="387"/>
      <c r="N193" s="387" t="s">
        <v>780</v>
      </c>
      <c r="O193" s="387" t="s">
        <v>732</v>
      </c>
      <c r="P193" s="387">
        <v>0</v>
      </c>
      <c r="Q193" s="388">
        <v>37792.708333333336</v>
      </c>
      <c r="R193" s="390"/>
    </row>
    <row r="194" spans="1:18" ht="12.75" outlineLevel="4">
      <c r="A194" s="385" t="s">
        <v>1700</v>
      </c>
      <c r="B194" s="386" t="s">
        <v>1523</v>
      </c>
      <c r="C194" s="387">
        <v>0</v>
      </c>
      <c r="D194" s="387">
        <v>0</v>
      </c>
      <c r="E194" s="387">
        <v>0</v>
      </c>
      <c r="F194" s="387">
        <v>0</v>
      </c>
      <c r="G194" s="387">
        <v>0</v>
      </c>
      <c r="H194" s="387">
        <v>0</v>
      </c>
      <c r="I194" s="387">
        <v>0</v>
      </c>
      <c r="J194" s="387">
        <v>0</v>
      </c>
      <c r="K194" s="387">
        <v>0</v>
      </c>
      <c r="L194" s="387">
        <v>0</v>
      </c>
      <c r="M194" s="387"/>
      <c r="N194" s="387" t="s">
        <v>736</v>
      </c>
      <c r="O194" s="387" t="s">
        <v>732</v>
      </c>
      <c r="P194" s="387">
        <v>0</v>
      </c>
      <c r="Q194" s="388">
        <v>37820.708333333336</v>
      </c>
      <c r="R194" s="390"/>
    </row>
    <row r="195" spans="1:18" ht="12.75" outlineLevel="4">
      <c r="A195" s="385" t="s">
        <v>1701</v>
      </c>
      <c r="B195" s="386" t="s">
        <v>1702</v>
      </c>
      <c r="C195" s="387">
        <v>0</v>
      </c>
      <c r="D195" s="387">
        <v>0</v>
      </c>
      <c r="E195" s="387">
        <v>0</v>
      </c>
      <c r="F195" s="387">
        <v>0</v>
      </c>
      <c r="G195" s="387">
        <v>0</v>
      </c>
      <c r="H195" s="387">
        <v>0</v>
      </c>
      <c r="I195" s="387">
        <v>0</v>
      </c>
      <c r="J195" s="387">
        <v>0</v>
      </c>
      <c r="K195" s="387">
        <v>0</v>
      </c>
      <c r="L195" s="387">
        <v>0</v>
      </c>
      <c r="M195" s="387"/>
      <c r="N195" s="387" t="s">
        <v>736</v>
      </c>
      <c r="O195" s="387" t="s">
        <v>732</v>
      </c>
      <c r="P195" s="387">
        <v>0</v>
      </c>
      <c r="Q195" s="388">
        <v>37834.708333333336</v>
      </c>
      <c r="R195" s="390"/>
    </row>
    <row r="196" spans="1:18" ht="12.75" outlineLevel="4">
      <c r="A196" s="385" t="s">
        <v>581</v>
      </c>
      <c r="B196" s="386" t="s">
        <v>582</v>
      </c>
      <c r="C196" s="387">
        <v>0</v>
      </c>
      <c r="D196" s="387">
        <v>0</v>
      </c>
      <c r="E196" s="387">
        <v>0</v>
      </c>
      <c r="F196" s="387">
        <v>0</v>
      </c>
      <c r="G196" s="387">
        <v>0</v>
      </c>
      <c r="H196" s="387">
        <v>0</v>
      </c>
      <c r="I196" s="387">
        <v>0</v>
      </c>
      <c r="J196" s="387">
        <v>0</v>
      </c>
      <c r="K196" s="387">
        <v>0</v>
      </c>
      <c r="L196" s="387">
        <v>0</v>
      </c>
      <c r="M196" s="387"/>
      <c r="N196" s="387" t="s">
        <v>736</v>
      </c>
      <c r="O196" s="387" t="s">
        <v>732</v>
      </c>
      <c r="P196" s="387">
        <v>0</v>
      </c>
      <c r="Q196" s="388">
        <v>37291.708333333336</v>
      </c>
      <c r="R196" s="390"/>
    </row>
    <row r="197" spans="1:18" ht="12.75" outlineLevel="3">
      <c r="A197" s="401" t="s">
        <v>1703</v>
      </c>
      <c r="B197" s="402" t="s">
        <v>1840</v>
      </c>
      <c r="C197" s="387">
        <v>0</v>
      </c>
      <c r="D197" s="387">
        <v>0</v>
      </c>
      <c r="E197" s="387">
        <v>0</v>
      </c>
      <c r="F197" s="387">
        <v>6310</v>
      </c>
      <c r="G197" s="387">
        <v>6310</v>
      </c>
      <c r="H197" s="387">
        <v>0</v>
      </c>
      <c r="I197" s="387">
        <v>0</v>
      </c>
      <c r="J197" s="387">
        <v>6000</v>
      </c>
      <c r="K197" s="387">
        <v>6442.408561706543</v>
      </c>
      <c r="L197" s="387">
        <v>6442.408561706543</v>
      </c>
      <c r="M197" s="387"/>
      <c r="N197" s="387" t="s">
        <v>736</v>
      </c>
      <c r="O197" s="387" t="s">
        <v>732</v>
      </c>
      <c r="P197" s="387">
        <v>0</v>
      </c>
      <c r="Q197" s="388">
        <v>37888.5</v>
      </c>
      <c r="R197" s="390"/>
    </row>
    <row r="198" spans="1:18" ht="12.75" outlineLevel="3">
      <c r="A198" s="380" t="s">
        <v>1704</v>
      </c>
      <c r="B198" s="381" t="s">
        <v>1705</v>
      </c>
      <c r="C198" s="382">
        <f>0+C199+C200+C201+C202</f>
        <v>0</v>
      </c>
      <c r="D198" s="382">
        <f>0+D199+D200+D201+D202</f>
        <v>0</v>
      </c>
      <c r="E198" s="382">
        <f>0+E199+E200+E201+E202</f>
        <v>0</v>
      </c>
      <c r="F198" s="382">
        <f>0+F199+F200+F201+F202</f>
        <v>0</v>
      </c>
      <c r="G198" s="382">
        <f>F198+E198</f>
        <v>0</v>
      </c>
      <c r="H198" s="382">
        <f>D198-C198</f>
        <v>0</v>
      </c>
      <c r="I198" s="382">
        <f>D198-E198</f>
        <v>0</v>
      </c>
      <c r="J198" s="382">
        <f>+J199+J200+J201+J202</f>
        <v>21600</v>
      </c>
      <c r="K198" s="382">
        <f>+K199+K200+K201+K202</f>
        <v>23192.670822143555</v>
      </c>
      <c r="L198" s="382">
        <f>+L199+L200+L201+L202</f>
        <v>23192.670822143555</v>
      </c>
      <c r="M198" s="382">
        <f>K198-L198</f>
        <v>0</v>
      </c>
      <c r="N198" s="382" t="s">
        <v>768</v>
      </c>
      <c r="O198" s="382" t="s">
        <v>732</v>
      </c>
      <c r="P198" s="382">
        <v>7</v>
      </c>
      <c r="Q198" s="383">
        <v>37903.63270833333</v>
      </c>
      <c r="R198" s="384"/>
    </row>
    <row r="199" spans="1:18" ht="12.75" outlineLevel="4">
      <c r="A199" s="385" t="s">
        <v>1706</v>
      </c>
      <c r="B199" s="386" t="s">
        <v>585</v>
      </c>
      <c r="C199" s="387">
        <v>0</v>
      </c>
      <c r="D199" s="387">
        <v>0</v>
      </c>
      <c r="E199" s="387">
        <v>0</v>
      </c>
      <c r="F199" s="387">
        <v>0</v>
      </c>
      <c r="G199" s="387">
        <v>0</v>
      </c>
      <c r="H199" s="387">
        <v>0</v>
      </c>
      <c r="I199" s="387">
        <v>0</v>
      </c>
      <c r="J199" s="387">
        <v>21600</v>
      </c>
      <c r="K199" s="387">
        <v>23192.670822143555</v>
      </c>
      <c r="L199" s="387">
        <v>23192.670822143555</v>
      </c>
      <c r="M199" s="387"/>
      <c r="N199" s="387" t="s">
        <v>736</v>
      </c>
      <c r="O199" s="387" t="s">
        <v>732</v>
      </c>
      <c r="P199" s="387">
        <v>0</v>
      </c>
      <c r="Q199" s="388">
        <v>37861.63270833333</v>
      </c>
      <c r="R199" s="390"/>
    </row>
    <row r="200" spans="1:18" ht="12.75" outlineLevel="4">
      <c r="A200" s="385" t="s">
        <v>1707</v>
      </c>
      <c r="B200" s="386" t="s">
        <v>1708</v>
      </c>
      <c r="C200" s="387">
        <v>0</v>
      </c>
      <c r="D200" s="387">
        <v>0</v>
      </c>
      <c r="E200" s="387">
        <v>0</v>
      </c>
      <c r="F200" s="387">
        <v>0</v>
      </c>
      <c r="G200" s="387">
        <v>0</v>
      </c>
      <c r="H200" s="387">
        <v>0</v>
      </c>
      <c r="I200" s="387">
        <v>0</v>
      </c>
      <c r="J200" s="387">
        <v>0</v>
      </c>
      <c r="K200" s="387">
        <v>0</v>
      </c>
      <c r="L200" s="387">
        <v>0</v>
      </c>
      <c r="M200" s="387"/>
      <c r="N200" s="387" t="s">
        <v>736</v>
      </c>
      <c r="O200" s="387" t="s">
        <v>732</v>
      </c>
      <c r="P200" s="387">
        <v>0</v>
      </c>
      <c r="Q200" s="388">
        <v>37889.63270833333</v>
      </c>
      <c r="R200" s="390"/>
    </row>
    <row r="201" spans="1:18" ht="12.75" outlineLevel="4">
      <c r="A201" s="385" t="s">
        <v>1709</v>
      </c>
      <c r="B201" s="386" t="s">
        <v>1710</v>
      </c>
      <c r="C201" s="387">
        <v>0</v>
      </c>
      <c r="D201" s="387">
        <v>0</v>
      </c>
      <c r="E201" s="387">
        <v>0</v>
      </c>
      <c r="F201" s="387">
        <v>0</v>
      </c>
      <c r="G201" s="387">
        <v>0</v>
      </c>
      <c r="H201" s="387">
        <v>0</v>
      </c>
      <c r="I201" s="387">
        <v>0</v>
      </c>
      <c r="J201" s="387">
        <v>0</v>
      </c>
      <c r="K201" s="387">
        <v>0</v>
      </c>
      <c r="L201" s="387">
        <v>0</v>
      </c>
      <c r="M201" s="387"/>
      <c r="N201" s="387" t="s">
        <v>736</v>
      </c>
      <c r="O201" s="387" t="s">
        <v>732</v>
      </c>
      <c r="P201" s="387">
        <v>0</v>
      </c>
      <c r="Q201" s="388">
        <v>37903.63270833333</v>
      </c>
      <c r="R201" s="390"/>
    </row>
    <row r="202" spans="1:18" ht="12.75" outlineLevel="4">
      <c r="A202" s="391" t="s">
        <v>1711</v>
      </c>
      <c r="B202" s="392" t="s">
        <v>1757</v>
      </c>
      <c r="C202" s="382">
        <f>0+C203+C204</f>
        <v>0</v>
      </c>
      <c r="D202" s="382">
        <f>0+D203+D204</f>
        <v>0</v>
      </c>
      <c r="E202" s="382">
        <f>0+E203+E204</f>
        <v>0</v>
      </c>
      <c r="F202" s="382">
        <f>0+F203+F204</f>
        <v>0</v>
      </c>
      <c r="G202" s="382">
        <f>F202+E202</f>
        <v>0</v>
      </c>
      <c r="H202" s="382">
        <f>D202-C202</f>
        <v>0</v>
      </c>
      <c r="I202" s="382">
        <f>D202-E202</f>
        <v>0</v>
      </c>
      <c r="J202" s="382">
        <f>+J203+J204</f>
        <v>0</v>
      </c>
      <c r="K202" s="382">
        <f>+K203+K204</f>
        <v>0</v>
      </c>
      <c r="L202" s="382">
        <f>+L203+L204</f>
        <v>0</v>
      </c>
      <c r="M202" s="382">
        <f>K202-L202</f>
        <v>0</v>
      </c>
      <c r="N202" s="382" t="s">
        <v>768</v>
      </c>
      <c r="O202" s="382" t="s">
        <v>732</v>
      </c>
      <c r="P202" s="382">
        <v>0</v>
      </c>
      <c r="Q202" s="383">
        <v>37813.708333333336</v>
      </c>
      <c r="R202" s="384"/>
    </row>
    <row r="203" spans="1:18" ht="12.75" outlineLevel="5">
      <c r="A203" s="393" t="s">
        <v>1712</v>
      </c>
      <c r="B203" s="394" t="s">
        <v>1759</v>
      </c>
      <c r="C203" s="387">
        <v>0</v>
      </c>
      <c r="D203" s="387">
        <v>0</v>
      </c>
      <c r="E203" s="387">
        <v>0</v>
      </c>
      <c r="F203" s="387">
        <v>0</v>
      </c>
      <c r="G203" s="387">
        <v>0</v>
      </c>
      <c r="H203" s="387">
        <v>0</v>
      </c>
      <c r="I203" s="387">
        <v>0</v>
      </c>
      <c r="J203" s="387">
        <v>0</v>
      </c>
      <c r="K203" s="387">
        <v>0</v>
      </c>
      <c r="L203" s="387">
        <v>0</v>
      </c>
      <c r="M203" s="387"/>
      <c r="N203" s="387" t="s">
        <v>736</v>
      </c>
      <c r="O203" s="387" t="s">
        <v>732</v>
      </c>
      <c r="P203" s="387">
        <v>0</v>
      </c>
      <c r="Q203" s="388">
        <v>37799.708333333336</v>
      </c>
      <c r="R203" s="390"/>
    </row>
    <row r="204" spans="1:18" ht="12.75" outlineLevel="5">
      <c r="A204" s="393" t="s">
        <v>1713</v>
      </c>
      <c r="B204" s="394" t="s">
        <v>1719</v>
      </c>
      <c r="C204" s="387">
        <v>0</v>
      </c>
      <c r="D204" s="387">
        <v>0</v>
      </c>
      <c r="E204" s="387">
        <v>0</v>
      </c>
      <c r="F204" s="387">
        <v>0</v>
      </c>
      <c r="G204" s="387">
        <v>0</v>
      </c>
      <c r="H204" s="387">
        <v>0</v>
      </c>
      <c r="I204" s="387">
        <v>0</v>
      </c>
      <c r="J204" s="387">
        <v>0</v>
      </c>
      <c r="K204" s="387">
        <v>0</v>
      </c>
      <c r="L204" s="387">
        <v>0</v>
      </c>
      <c r="M204" s="387"/>
      <c r="N204" s="387" t="s">
        <v>736</v>
      </c>
      <c r="O204" s="387" t="s">
        <v>732</v>
      </c>
      <c r="P204" s="387">
        <v>0</v>
      </c>
      <c r="Q204" s="388">
        <v>37813.708333333336</v>
      </c>
      <c r="R204" s="390"/>
    </row>
    <row r="205" spans="1:18" ht="12.75" outlineLevel="3">
      <c r="A205" s="380" t="s">
        <v>586</v>
      </c>
      <c r="B205" s="381" t="s">
        <v>782</v>
      </c>
      <c r="C205" s="382">
        <f>0+C206</f>
        <v>0</v>
      </c>
      <c r="D205" s="382">
        <f>0+D206</f>
        <v>0</v>
      </c>
      <c r="E205" s="382">
        <f>0+E206</f>
        <v>0</v>
      </c>
      <c r="F205" s="382">
        <f>0+F206</f>
        <v>0</v>
      </c>
      <c r="G205" s="382">
        <f>F205+E205</f>
        <v>0</v>
      </c>
      <c r="H205" s="382">
        <f>D205-C205</f>
        <v>0</v>
      </c>
      <c r="I205" s="382">
        <f>D205-E205</f>
        <v>0</v>
      </c>
      <c r="J205" s="382">
        <f>+J206</f>
        <v>7500</v>
      </c>
      <c r="K205" s="382">
        <f>+K206</f>
        <v>8053.010702133179</v>
      </c>
      <c r="L205" s="382">
        <f>+L206</f>
        <v>8053.010702133179</v>
      </c>
      <c r="M205" s="382">
        <f>K205-L205</f>
        <v>0</v>
      </c>
      <c r="N205" s="382" t="s">
        <v>770</v>
      </c>
      <c r="O205" s="382" t="s">
        <v>732</v>
      </c>
      <c r="P205" s="382">
        <v>51</v>
      </c>
      <c r="Q205" s="383">
        <v>37883.708333333336</v>
      </c>
      <c r="R205" s="384"/>
    </row>
    <row r="206" spans="1:18" ht="12.75" outlineLevel="4">
      <c r="A206" s="391" t="s">
        <v>1720</v>
      </c>
      <c r="B206" s="392" t="s">
        <v>1586</v>
      </c>
      <c r="C206" s="382">
        <f>0+C207+C208+C209+C210</f>
        <v>0</v>
      </c>
      <c r="D206" s="382">
        <f>0+D207+D208+D209+D210</f>
        <v>0</v>
      </c>
      <c r="E206" s="382">
        <f>0+E207+E208+E209+E210</f>
        <v>0</v>
      </c>
      <c r="F206" s="382">
        <f>0+F207+F208+F209+F210</f>
        <v>0</v>
      </c>
      <c r="G206" s="382">
        <f>F206+E206</f>
        <v>0</v>
      </c>
      <c r="H206" s="382">
        <f>D206-C206</f>
        <v>0</v>
      </c>
      <c r="I206" s="382">
        <f>D206-E206</f>
        <v>0</v>
      </c>
      <c r="J206" s="382">
        <f>+J207+J208+J209+J210</f>
        <v>7500</v>
      </c>
      <c r="K206" s="382">
        <f>+K207+K208+K209+K210</f>
        <v>8053.010702133179</v>
      </c>
      <c r="L206" s="382">
        <f>+L207+L208+L209+L210</f>
        <v>8053.010702133179</v>
      </c>
      <c r="M206" s="382">
        <f>K206-L206</f>
        <v>0</v>
      </c>
      <c r="N206" s="382" t="s">
        <v>742</v>
      </c>
      <c r="O206" s="382" t="s">
        <v>732</v>
      </c>
      <c r="P206" s="382">
        <v>0</v>
      </c>
      <c r="Q206" s="383">
        <v>37883.708333333336</v>
      </c>
      <c r="R206" s="384"/>
    </row>
    <row r="207" spans="1:18" ht="12.75" outlineLevel="5">
      <c r="A207" s="393" t="s">
        <v>1721</v>
      </c>
      <c r="B207" s="394" t="s">
        <v>1525</v>
      </c>
      <c r="C207" s="387">
        <v>0</v>
      </c>
      <c r="D207" s="387">
        <v>0</v>
      </c>
      <c r="E207" s="387">
        <v>0</v>
      </c>
      <c r="F207" s="387">
        <v>0</v>
      </c>
      <c r="G207" s="387">
        <v>0</v>
      </c>
      <c r="H207" s="387">
        <v>0</v>
      </c>
      <c r="I207" s="387">
        <v>0</v>
      </c>
      <c r="J207" s="387">
        <v>7500</v>
      </c>
      <c r="K207" s="387">
        <v>8053.010702133179</v>
      </c>
      <c r="L207" s="387">
        <v>8053.010702133179</v>
      </c>
      <c r="M207" s="387"/>
      <c r="N207" s="387" t="s">
        <v>344</v>
      </c>
      <c r="O207" s="387" t="s">
        <v>732</v>
      </c>
      <c r="P207" s="387">
        <v>0</v>
      </c>
      <c r="Q207" s="388">
        <v>37813.708333333336</v>
      </c>
      <c r="R207" s="390"/>
    </row>
    <row r="208" spans="1:18" ht="12.75" outlineLevel="5">
      <c r="A208" s="393" t="s">
        <v>1722</v>
      </c>
      <c r="B208" s="394" t="s">
        <v>1588</v>
      </c>
      <c r="C208" s="387">
        <v>0</v>
      </c>
      <c r="D208" s="387">
        <v>0</v>
      </c>
      <c r="E208" s="387">
        <v>0</v>
      </c>
      <c r="F208" s="387">
        <v>0</v>
      </c>
      <c r="G208" s="387">
        <v>0</v>
      </c>
      <c r="H208" s="387">
        <v>0</v>
      </c>
      <c r="I208" s="387">
        <v>0</v>
      </c>
      <c r="J208" s="387">
        <v>0</v>
      </c>
      <c r="K208" s="387">
        <v>0</v>
      </c>
      <c r="L208" s="387">
        <v>0</v>
      </c>
      <c r="M208" s="387"/>
      <c r="N208" s="387" t="s">
        <v>344</v>
      </c>
      <c r="O208" s="387" t="s">
        <v>732</v>
      </c>
      <c r="P208" s="387">
        <v>0</v>
      </c>
      <c r="Q208" s="388">
        <v>37869.708333333336</v>
      </c>
      <c r="R208" s="390"/>
    </row>
    <row r="209" spans="1:18" ht="12.75" outlineLevel="5">
      <c r="A209" s="393" t="s">
        <v>1723</v>
      </c>
      <c r="B209" s="394" t="s">
        <v>1589</v>
      </c>
      <c r="C209" s="387">
        <v>0</v>
      </c>
      <c r="D209" s="387">
        <v>0</v>
      </c>
      <c r="E209" s="387">
        <v>0</v>
      </c>
      <c r="F209" s="387">
        <v>0</v>
      </c>
      <c r="G209" s="387">
        <v>0</v>
      </c>
      <c r="H209" s="387">
        <v>0</v>
      </c>
      <c r="I209" s="387">
        <v>0</v>
      </c>
      <c r="J209" s="387">
        <v>0</v>
      </c>
      <c r="K209" s="387">
        <v>0</v>
      </c>
      <c r="L209" s="387">
        <v>0</v>
      </c>
      <c r="M209" s="387"/>
      <c r="N209" s="387" t="s">
        <v>344</v>
      </c>
      <c r="O209" s="387" t="s">
        <v>732</v>
      </c>
      <c r="P209" s="387">
        <v>0</v>
      </c>
      <c r="Q209" s="388">
        <v>37883.708333333336</v>
      </c>
      <c r="R209" s="390"/>
    </row>
    <row r="210" spans="1:18" ht="12.75" outlineLevel="5">
      <c r="A210" s="393" t="s">
        <v>1724</v>
      </c>
      <c r="B210" s="394" t="s">
        <v>1795</v>
      </c>
      <c r="C210" s="387">
        <v>0</v>
      </c>
      <c r="D210" s="387">
        <v>0</v>
      </c>
      <c r="E210" s="387">
        <v>0</v>
      </c>
      <c r="F210" s="387">
        <v>0</v>
      </c>
      <c r="G210" s="387">
        <v>0</v>
      </c>
      <c r="H210" s="387">
        <v>0</v>
      </c>
      <c r="I210" s="387">
        <v>0</v>
      </c>
      <c r="J210" s="387">
        <v>0</v>
      </c>
      <c r="K210" s="387">
        <v>0</v>
      </c>
      <c r="L210" s="387">
        <v>0</v>
      </c>
      <c r="M210" s="387"/>
      <c r="N210" s="387" t="s">
        <v>344</v>
      </c>
      <c r="O210" s="387" t="s">
        <v>732</v>
      </c>
      <c r="P210" s="387">
        <v>0</v>
      </c>
      <c r="Q210" s="388">
        <v>37729.708333333336</v>
      </c>
      <c r="R210" s="390"/>
    </row>
    <row r="211" spans="1:18" ht="12.75" outlineLevel="4">
      <c r="A211" s="391" t="s">
        <v>1720</v>
      </c>
      <c r="B211" s="392" t="s">
        <v>1586</v>
      </c>
      <c r="C211" s="382">
        <f>0+C212+C213+C214+C215</f>
        <v>0</v>
      </c>
      <c r="D211" s="382">
        <f>0+D212+D213+D214+D215</f>
        <v>0</v>
      </c>
      <c r="E211" s="382">
        <f>0+E212+E213+E214+E215</f>
        <v>0</v>
      </c>
      <c r="F211" s="382">
        <f>0+F212+F213+F214+F215</f>
        <v>0</v>
      </c>
      <c r="G211" s="382">
        <f>F211+E211</f>
        <v>0</v>
      </c>
      <c r="H211" s="382">
        <f>D211-C211</f>
        <v>0</v>
      </c>
      <c r="I211" s="382">
        <f>D211-E211</f>
        <v>0</v>
      </c>
      <c r="J211" s="382">
        <f>+J212+J213+J214+J215</f>
        <v>7500</v>
      </c>
      <c r="K211" s="382">
        <f>+K212+K213+K214+K215</f>
        <v>8053.010702133179</v>
      </c>
      <c r="L211" s="382">
        <f>+L212+L213+L214+L215</f>
        <v>8053.010702133179</v>
      </c>
      <c r="M211" s="382">
        <f>K211-L211</f>
        <v>0</v>
      </c>
      <c r="N211" s="382" t="s">
        <v>742</v>
      </c>
      <c r="O211" s="382" t="s">
        <v>732</v>
      </c>
      <c r="P211" s="382">
        <v>0</v>
      </c>
      <c r="Q211" s="383">
        <v>37883.708333333336</v>
      </c>
      <c r="R211" s="384"/>
    </row>
    <row r="212" spans="1:18" ht="12.75" outlineLevel="5">
      <c r="A212" s="393" t="s">
        <v>1721</v>
      </c>
      <c r="B212" s="394" t="s">
        <v>1525</v>
      </c>
      <c r="C212" s="387">
        <v>0</v>
      </c>
      <c r="D212" s="387">
        <v>0</v>
      </c>
      <c r="E212" s="387">
        <v>0</v>
      </c>
      <c r="F212" s="387">
        <v>0</v>
      </c>
      <c r="G212" s="387">
        <v>0</v>
      </c>
      <c r="H212" s="387">
        <v>0</v>
      </c>
      <c r="I212" s="387">
        <v>0</v>
      </c>
      <c r="J212" s="387">
        <v>7500</v>
      </c>
      <c r="K212" s="387">
        <v>8053.010702133179</v>
      </c>
      <c r="L212" s="387">
        <v>8053.010702133179</v>
      </c>
      <c r="M212" s="387"/>
      <c r="N212" s="387" t="s">
        <v>344</v>
      </c>
      <c r="O212" s="387" t="s">
        <v>732</v>
      </c>
      <c r="P212" s="387">
        <v>0</v>
      </c>
      <c r="Q212" s="388">
        <v>37813.708333333336</v>
      </c>
      <c r="R212" s="390"/>
    </row>
    <row r="213" spans="1:18" ht="12.75" outlineLevel="5">
      <c r="A213" s="393" t="s">
        <v>1722</v>
      </c>
      <c r="B213" s="394" t="s">
        <v>1588</v>
      </c>
      <c r="C213" s="387">
        <v>0</v>
      </c>
      <c r="D213" s="387">
        <v>0</v>
      </c>
      <c r="E213" s="387">
        <v>0</v>
      </c>
      <c r="F213" s="387">
        <v>0</v>
      </c>
      <c r="G213" s="387">
        <v>0</v>
      </c>
      <c r="H213" s="387">
        <v>0</v>
      </c>
      <c r="I213" s="387">
        <v>0</v>
      </c>
      <c r="J213" s="387">
        <v>0</v>
      </c>
      <c r="K213" s="387">
        <v>0</v>
      </c>
      <c r="L213" s="387">
        <v>0</v>
      </c>
      <c r="M213" s="387"/>
      <c r="N213" s="387" t="s">
        <v>344</v>
      </c>
      <c r="O213" s="387" t="s">
        <v>732</v>
      </c>
      <c r="P213" s="387">
        <v>0</v>
      </c>
      <c r="Q213" s="388">
        <v>37869.708333333336</v>
      </c>
      <c r="R213" s="390"/>
    </row>
    <row r="214" spans="1:18" ht="12.75" outlineLevel="5">
      <c r="A214" s="393" t="s">
        <v>1723</v>
      </c>
      <c r="B214" s="394" t="s">
        <v>1589</v>
      </c>
      <c r="C214" s="387">
        <v>0</v>
      </c>
      <c r="D214" s="387">
        <v>0</v>
      </c>
      <c r="E214" s="387">
        <v>0</v>
      </c>
      <c r="F214" s="387">
        <v>0</v>
      </c>
      <c r="G214" s="387">
        <v>0</v>
      </c>
      <c r="H214" s="387">
        <v>0</v>
      </c>
      <c r="I214" s="387">
        <v>0</v>
      </c>
      <c r="J214" s="387">
        <v>0</v>
      </c>
      <c r="K214" s="387">
        <v>0</v>
      </c>
      <c r="L214" s="387">
        <v>0</v>
      </c>
      <c r="M214" s="387"/>
      <c r="N214" s="387" t="s">
        <v>344</v>
      </c>
      <c r="O214" s="387" t="s">
        <v>732</v>
      </c>
      <c r="P214" s="387">
        <v>0</v>
      </c>
      <c r="Q214" s="388">
        <v>37883.708333333336</v>
      </c>
      <c r="R214" s="390"/>
    </row>
    <row r="215" spans="1:18" ht="12.75" outlineLevel="5">
      <c r="A215" s="393" t="s">
        <v>1724</v>
      </c>
      <c r="B215" s="394" t="s">
        <v>1795</v>
      </c>
      <c r="C215" s="387">
        <v>0</v>
      </c>
      <c r="D215" s="387">
        <v>0</v>
      </c>
      <c r="E215" s="387">
        <v>0</v>
      </c>
      <c r="F215" s="387">
        <v>0</v>
      </c>
      <c r="G215" s="387">
        <v>0</v>
      </c>
      <c r="H215" s="387">
        <v>0</v>
      </c>
      <c r="I215" s="387">
        <v>0</v>
      </c>
      <c r="J215" s="387">
        <v>0</v>
      </c>
      <c r="K215" s="387">
        <v>0</v>
      </c>
      <c r="L215" s="387">
        <v>0</v>
      </c>
      <c r="M215" s="387"/>
      <c r="N215" s="387" t="s">
        <v>344</v>
      </c>
      <c r="O215" s="387" t="s">
        <v>732</v>
      </c>
      <c r="P215" s="387">
        <v>0</v>
      </c>
      <c r="Q215" s="388">
        <v>37729.708333333336</v>
      </c>
      <c r="R215" s="390"/>
    </row>
    <row r="216" spans="1:18" ht="12.75" outlineLevel="1">
      <c r="A216" s="370">
        <v>2.5</v>
      </c>
      <c r="B216" s="371" t="s">
        <v>1524</v>
      </c>
      <c r="C216" s="372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 t="s">
        <v>587</v>
      </c>
      <c r="O216" s="372" t="s">
        <v>732</v>
      </c>
      <c r="P216" s="372">
        <v>23</v>
      </c>
      <c r="Q216" s="373">
        <v>38686.333333333336</v>
      </c>
      <c r="R216" s="374"/>
    </row>
    <row r="217" spans="1:18" ht="12.75" outlineLevel="2">
      <c r="A217" s="375" t="s">
        <v>1650</v>
      </c>
      <c r="B217" s="376" t="s">
        <v>1775</v>
      </c>
      <c r="C217" s="377">
        <f>0+C218+C222+C223+C228+C232+C233+C237+C240</f>
        <v>36807.75</v>
      </c>
      <c r="D217" s="377">
        <f>0+D218+D222+D223+D228+D232+D233+D237+D240</f>
        <v>0</v>
      </c>
      <c r="E217" s="377">
        <f>0+E218+E222+E223+E228+E232+E233+E237+E240</f>
        <v>137838.765625</v>
      </c>
      <c r="F217" s="377">
        <f>0+F218+F222+F223+F228+F232+F233+F237+F240</f>
        <v>102865.23</v>
      </c>
      <c r="G217" s="377">
        <f>F217+E217</f>
        <v>240703.99562499998</v>
      </c>
      <c r="H217" s="377">
        <f>D217-C217</f>
        <v>-36807.75</v>
      </c>
      <c r="I217" s="377">
        <f>D217-E217</f>
        <v>-137838.765625</v>
      </c>
      <c r="J217" s="377">
        <f>+J218+J222+J223+J228+J232+J233+J237+J240</f>
        <v>293994</v>
      </c>
      <c r="K217" s="377">
        <f>+K218+K222+K223+K228+K232+K233+K237+K240</f>
        <v>314898.6121606827</v>
      </c>
      <c r="L217" s="377">
        <f>+L218+L222+L223+L228+L232+L233+L237+L240</f>
        <v>314898.6121606827</v>
      </c>
      <c r="M217" s="377">
        <f>K217-L217</f>
        <v>0</v>
      </c>
      <c r="N217" s="377" t="s">
        <v>768</v>
      </c>
      <c r="O217" s="377" t="s">
        <v>732</v>
      </c>
      <c r="P217" s="377">
        <v>8</v>
      </c>
      <c r="Q217" s="378">
        <v>37872.42590277778</v>
      </c>
      <c r="R217" s="379"/>
    </row>
    <row r="218" spans="1:18" ht="12.75" outlineLevel="3">
      <c r="A218" s="380" t="s">
        <v>1651</v>
      </c>
      <c r="B218" s="381" t="s">
        <v>1730</v>
      </c>
      <c r="C218" s="382">
        <f>0+C219+C220+C221</f>
        <v>0</v>
      </c>
      <c r="D218" s="382">
        <f>0+D219+D220+D221</f>
        <v>0</v>
      </c>
      <c r="E218" s="382">
        <f>0+E219+E220+E221</f>
        <v>137838.765625</v>
      </c>
      <c r="F218" s="382">
        <f>0+F219+F220+F221</f>
        <v>99710.23</v>
      </c>
      <c r="G218" s="382">
        <f>F218+E218</f>
        <v>237548.99562499998</v>
      </c>
      <c r="H218" s="382">
        <f>D218-C218</f>
        <v>0</v>
      </c>
      <c r="I218" s="382">
        <f>D218-E218</f>
        <v>-137838.765625</v>
      </c>
      <c r="J218" s="382">
        <f>+J219+J220+J221</f>
        <v>228694</v>
      </c>
      <c r="K218" s="382">
        <f>+K219+K220+K221</f>
        <v>245556.69726848602</v>
      </c>
      <c r="L218" s="382">
        <f>+L219+L220+L221</f>
        <v>245556.69726848602</v>
      </c>
      <c r="M218" s="382">
        <f>K218-L218</f>
        <v>0</v>
      </c>
      <c r="N218" s="382" t="s">
        <v>768</v>
      </c>
      <c r="O218" s="382" t="s">
        <v>732</v>
      </c>
      <c r="P218" s="382">
        <v>6</v>
      </c>
      <c r="Q218" s="383">
        <v>37834.708333333336</v>
      </c>
      <c r="R218" s="384"/>
    </row>
    <row r="219" spans="1:18" ht="12.75" outlineLevel="4">
      <c r="A219" s="385" t="s">
        <v>1652</v>
      </c>
      <c r="B219" s="386" t="s">
        <v>1732</v>
      </c>
      <c r="C219" s="387">
        <v>0</v>
      </c>
      <c r="D219" s="387">
        <v>0</v>
      </c>
      <c r="E219" s="387">
        <v>137838.765625</v>
      </c>
      <c r="F219" s="387">
        <v>99710.23</v>
      </c>
      <c r="G219" s="387">
        <v>237548.99562499998</v>
      </c>
      <c r="H219" s="387">
        <v>0</v>
      </c>
      <c r="I219" s="387">
        <v>-137838.765625</v>
      </c>
      <c r="J219" s="387">
        <v>225544</v>
      </c>
      <c r="K219" s="387">
        <v>242174.4327735901</v>
      </c>
      <c r="L219" s="387">
        <v>242174.4327735901</v>
      </c>
      <c r="M219" s="387"/>
      <c r="N219" s="387" t="s">
        <v>736</v>
      </c>
      <c r="O219" s="387" t="s">
        <v>732</v>
      </c>
      <c r="P219" s="387">
        <v>0</v>
      </c>
      <c r="Q219" s="388">
        <v>37792.708333333336</v>
      </c>
      <c r="R219" s="390"/>
    </row>
    <row r="220" spans="1:18" ht="12.75" outlineLevel="4">
      <c r="A220" s="385" t="s">
        <v>1653</v>
      </c>
      <c r="B220" s="386" t="s">
        <v>1734</v>
      </c>
      <c r="C220" s="387">
        <v>0</v>
      </c>
      <c r="D220" s="387">
        <v>0</v>
      </c>
      <c r="E220" s="387">
        <v>0</v>
      </c>
      <c r="F220" s="387">
        <v>0</v>
      </c>
      <c r="G220" s="387">
        <v>0</v>
      </c>
      <c r="H220" s="387">
        <v>0</v>
      </c>
      <c r="I220" s="387">
        <v>0</v>
      </c>
      <c r="J220" s="387">
        <v>0</v>
      </c>
      <c r="K220" s="387">
        <v>0</v>
      </c>
      <c r="L220" s="387">
        <v>0</v>
      </c>
      <c r="M220" s="387"/>
      <c r="N220" s="387" t="s">
        <v>736</v>
      </c>
      <c r="O220" s="387" t="s">
        <v>732</v>
      </c>
      <c r="P220" s="387">
        <v>0</v>
      </c>
      <c r="Q220" s="388">
        <v>37820.708333333336</v>
      </c>
      <c r="R220" s="390"/>
    </row>
    <row r="221" spans="1:18" ht="12.75" outlineLevel="4">
      <c r="A221" s="385" t="s">
        <v>1654</v>
      </c>
      <c r="B221" s="386" t="s">
        <v>1691</v>
      </c>
      <c r="C221" s="387">
        <v>0</v>
      </c>
      <c r="D221" s="387">
        <v>0</v>
      </c>
      <c r="E221" s="387">
        <v>0</v>
      </c>
      <c r="F221" s="387">
        <v>0</v>
      </c>
      <c r="G221" s="387">
        <v>0</v>
      </c>
      <c r="H221" s="387">
        <v>0</v>
      </c>
      <c r="I221" s="387">
        <v>0</v>
      </c>
      <c r="J221" s="387">
        <v>3150</v>
      </c>
      <c r="K221" s="387">
        <v>3382.264494895935</v>
      </c>
      <c r="L221" s="387">
        <v>3382.264494895935</v>
      </c>
      <c r="M221" s="387"/>
      <c r="N221" s="387" t="s">
        <v>736</v>
      </c>
      <c r="O221" s="387" t="s">
        <v>732</v>
      </c>
      <c r="P221" s="387">
        <v>0</v>
      </c>
      <c r="Q221" s="388">
        <v>37834.708333333336</v>
      </c>
      <c r="R221" s="390"/>
    </row>
    <row r="222" spans="1:18" ht="12.75" outlineLevel="3">
      <c r="A222" s="380" t="s">
        <v>535</v>
      </c>
      <c r="B222" s="381" t="s">
        <v>769</v>
      </c>
      <c r="C222" s="382">
        <v>0</v>
      </c>
      <c r="D222" s="382">
        <v>0</v>
      </c>
      <c r="E222" s="382">
        <v>0</v>
      </c>
      <c r="F222" s="382">
        <v>0</v>
      </c>
      <c r="G222" s="382"/>
      <c r="H222" s="382"/>
      <c r="I222" s="382"/>
      <c r="J222" s="382"/>
      <c r="K222" s="382"/>
      <c r="L222" s="382"/>
      <c r="M222" s="382">
        <f>K222-L222</f>
        <v>0</v>
      </c>
      <c r="N222" s="382" t="s">
        <v>744</v>
      </c>
      <c r="O222" s="382" t="s">
        <v>732</v>
      </c>
      <c r="P222" s="382">
        <v>100</v>
      </c>
      <c r="Q222" s="383">
        <v>35731.708333333336</v>
      </c>
      <c r="R222" s="384"/>
    </row>
    <row r="223" spans="1:18" ht="12.75" outlineLevel="3">
      <c r="A223" s="380" t="s">
        <v>1655</v>
      </c>
      <c r="B223" s="381" t="s">
        <v>1739</v>
      </c>
      <c r="C223" s="382">
        <f>0+C224+C225+C226+C227</f>
        <v>36807.75</v>
      </c>
      <c r="D223" s="382">
        <f>0+D224+D225+D226+D227</f>
        <v>0</v>
      </c>
      <c r="E223" s="382">
        <f>0+E224+E225+E226+E227</f>
        <v>0</v>
      </c>
      <c r="F223" s="382">
        <f>0+F224+F225+F226+F227</f>
        <v>0</v>
      </c>
      <c r="G223" s="382">
        <f>F223+E223</f>
        <v>0</v>
      </c>
      <c r="H223" s="382">
        <f>D223-C223</f>
        <v>-36807.75</v>
      </c>
      <c r="I223" s="382">
        <f>D223-E223</f>
        <v>0</v>
      </c>
      <c r="J223" s="382">
        <f>+J224+J225+J226+J227</f>
        <v>35000</v>
      </c>
      <c r="K223" s="382">
        <f>+K224+K225+K226+K227</f>
        <v>36807.75165557861</v>
      </c>
      <c r="L223" s="382">
        <f>+L224+L225+L226+L227</f>
        <v>36807.75165557861</v>
      </c>
      <c r="M223" s="382">
        <f>K223-L223</f>
        <v>0</v>
      </c>
      <c r="N223" s="382" t="s">
        <v>770</v>
      </c>
      <c r="O223" s="382" t="s">
        <v>732</v>
      </c>
      <c r="P223" s="382">
        <v>0</v>
      </c>
      <c r="Q223" s="383">
        <v>37540.708333333336</v>
      </c>
      <c r="R223" s="384"/>
    </row>
    <row r="224" spans="1:18" ht="12.75" outlineLevel="4">
      <c r="A224" s="385" t="s">
        <v>1656</v>
      </c>
      <c r="B224" s="386" t="s">
        <v>1657</v>
      </c>
      <c r="C224" s="387">
        <v>36807.75</v>
      </c>
      <c r="D224" s="387">
        <v>0</v>
      </c>
      <c r="E224" s="387">
        <v>0</v>
      </c>
      <c r="F224" s="387">
        <v>0</v>
      </c>
      <c r="G224" s="387">
        <v>0</v>
      </c>
      <c r="H224" s="387">
        <v>-36807.75</v>
      </c>
      <c r="I224" s="387">
        <v>0</v>
      </c>
      <c r="J224" s="387">
        <v>35000</v>
      </c>
      <c r="K224" s="387">
        <v>36807.75165557861</v>
      </c>
      <c r="L224" s="387">
        <v>36807.75165557861</v>
      </c>
      <c r="M224" s="387"/>
      <c r="N224" s="387" t="s">
        <v>737</v>
      </c>
      <c r="O224" s="387" t="s">
        <v>732</v>
      </c>
      <c r="P224" s="387">
        <v>0</v>
      </c>
      <c r="Q224" s="388">
        <v>37484.708333333336</v>
      </c>
      <c r="R224" s="390"/>
    </row>
    <row r="225" spans="1:18" ht="12.75" outlineLevel="4">
      <c r="A225" s="385" t="s">
        <v>1658</v>
      </c>
      <c r="B225" s="386" t="s">
        <v>1743</v>
      </c>
      <c r="C225" s="387">
        <v>0</v>
      </c>
      <c r="D225" s="387">
        <v>0</v>
      </c>
      <c r="E225" s="387">
        <v>0</v>
      </c>
      <c r="F225" s="387">
        <v>0</v>
      </c>
      <c r="G225" s="387">
        <v>0</v>
      </c>
      <c r="H225" s="387">
        <v>0</v>
      </c>
      <c r="I225" s="387">
        <v>0</v>
      </c>
      <c r="J225" s="387">
        <v>0</v>
      </c>
      <c r="K225" s="387">
        <v>0</v>
      </c>
      <c r="L225" s="387">
        <v>0</v>
      </c>
      <c r="M225" s="387"/>
      <c r="N225" s="387" t="s">
        <v>737</v>
      </c>
      <c r="O225" s="387" t="s">
        <v>732</v>
      </c>
      <c r="P225" s="387">
        <v>0</v>
      </c>
      <c r="Q225" s="388">
        <v>37526.708333333336</v>
      </c>
      <c r="R225" s="390"/>
    </row>
    <row r="226" spans="1:18" ht="12.75" outlineLevel="4">
      <c r="A226" s="385" t="s">
        <v>1659</v>
      </c>
      <c r="B226" s="386" t="s">
        <v>1696</v>
      </c>
      <c r="C226" s="387">
        <v>0</v>
      </c>
      <c r="D226" s="387">
        <v>0</v>
      </c>
      <c r="E226" s="387">
        <v>0</v>
      </c>
      <c r="F226" s="387">
        <v>0</v>
      </c>
      <c r="G226" s="387">
        <v>0</v>
      </c>
      <c r="H226" s="387">
        <v>0</v>
      </c>
      <c r="I226" s="387">
        <v>0</v>
      </c>
      <c r="J226" s="387">
        <v>0</v>
      </c>
      <c r="K226" s="387">
        <v>0</v>
      </c>
      <c r="L226" s="387">
        <v>0</v>
      </c>
      <c r="M226" s="387"/>
      <c r="N226" s="387" t="s">
        <v>737</v>
      </c>
      <c r="O226" s="387" t="s">
        <v>732</v>
      </c>
      <c r="P226" s="387">
        <v>0</v>
      </c>
      <c r="Q226" s="388">
        <v>37540.708333333336</v>
      </c>
      <c r="R226" s="390"/>
    </row>
    <row r="227" spans="1:18" ht="12.75" outlineLevel="4">
      <c r="A227" s="385" t="s">
        <v>1660</v>
      </c>
      <c r="B227" s="386" t="s">
        <v>1795</v>
      </c>
      <c r="C227" s="387">
        <v>0</v>
      </c>
      <c r="D227" s="387">
        <v>0</v>
      </c>
      <c r="E227" s="387">
        <v>0</v>
      </c>
      <c r="F227" s="387">
        <v>0</v>
      </c>
      <c r="G227" s="387">
        <v>0</v>
      </c>
      <c r="H227" s="387">
        <v>0</v>
      </c>
      <c r="I227" s="387">
        <v>0</v>
      </c>
      <c r="J227" s="387">
        <v>0</v>
      </c>
      <c r="K227" s="387">
        <v>0</v>
      </c>
      <c r="L227" s="387">
        <v>0</v>
      </c>
      <c r="M227" s="387"/>
      <c r="N227" s="387" t="s">
        <v>737</v>
      </c>
      <c r="O227" s="387" t="s">
        <v>732</v>
      </c>
      <c r="P227" s="387">
        <v>0</v>
      </c>
      <c r="Q227" s="388">
        <v>37484.708333333336</v>
      </c>
      <c r="R227" s="390"/>
    </row>
    <row r="228" spans="1:18" ht="12.75" outlineLevel="3">
      <c r="A228" s="380" t="s">
        <v>1661</v>
      </c>
      <c r="B228" s="381" t="s">
        <v>1522</v>
      </c>
      <c r="C228" s="382">
        <f>0+C229+C230+C231</f>
        <v>0</v>
      </c>
      <c r="D228" s="382">
        <f>0+D229+D230+D231</f>
        <v>0</v>
      </c>
      <c r="E228" s="382">
        <f>0+E229+E230+E231</f>
        <v>0</v>
      </c>
      <c r="F228" s="382">
        <f>0+F229+F230+F231</f>
        <v>0</v>
      </c>
      <c r="G228" s="382">
        <f>F228+E228</f>
        <v>0</v>
      </c>
      <c r="H228" s="382">
        <f>D228-C228</f>
        <v>0</v>
      </c>
      <c r="I228" s="382">
        <f>D228-E228</f>
        <v>0</v>
      </c>
      <c r="J228" s="382">
        <f>+J229+J230+J231</f>
        <v>16500</v>
      </c>
      <c r="K228" s="382">
        <f>+K229+K230+K231</f>
        <v>17716.623544692993</v>
      </c>
      <c r="L228" s="382">
        <f>+L229+L230+L231</f>
        <v>17716.623544692993</v>
      </c>
      <c r="M228" s="382">
        <f>K228-L228</f>
        <v>0</v>
      </c>
      <c r="N228" s="382" t="s">
        <v>768</v>
      </c>
      <c r="O228" s="382" t="s">
        <v>732</v>
      </c>
      <c r="P228" s="382">
        <v>0</v>
      </c>
      <c r="Q228" s="383">
        <v>37778.708333333336</v>
      </c>
      <c r="R228" s="384"/>
    </row>
    <row r="229" spans="1:18" ht="12.75" outlineLevel="4">
      <c r="A229" s="385" t="s">
        <v>1662</v>
      </c>
      <c r="B229" s="386" t="s">
        <v>1749</v>
      </c>
      <c r="C229" s="387">
        <v>0</v>
      </c>
      <c r="D229" s="387">
        <v>0</v>
      </c>
      <c r="E229" s="387">
        <v>0</v>
      </c>
      <c r="F229" s="387">
        <v>0</v>
      </c>
      <c r="G229" s="387">
        <v>0</v>
      </c>
      <c r="H229" s="387">
        <v>0</v>
      </c>
      <c r="I229" s="387">
        <v>0</v>
      </c>
      <c r="J229" s="387">
        <v>16500</v>
      </c>
      <c r="K229" s="387">
        <v>17716.623544692993</v>
      </c>
      <c r="L229" s="387">
        <v>17716.623544692993</v>
      </c>
      <c r="M229" s="387"/>
      <c r="N229" s="387" t="s">
        <v>780</v>
      </c>
      <c r="O229" s="387" t="s">
        <v>732</v>
      </c>
      <c r="P229" s="387">
        <v>0</v>
      </c>
      <c r="Q229" s="388">
        <v>37736.708333333336</v>
      </c>
      <c r="R229" s="390"/>
    </row>
    <row r="230" spans="1:18" ht="12.75" outlineLevel="4">
      <c r="A230" s="385" t="s">
        <v>1663</v>
      </c>
      <c r="B230" s="386" t="s">
        <v>1523</v>
      </c>
      <c r="C230" s="387">
        <v>0</v>
      </c>
      <c r="D230" s="387">
        <v>0</v>
      </c>
      <c r="E230" s="387">
        <v>0</v>
      </c>
      <c r="F230" s="387">
        <v>0</v>
      </c>
      <c r="G230" s="387">
        <v>0</v>
      </c>
      <c r="H230" s="387">
        <v>0</v>
      </c>
      <c r="I230" s="387">
        <v>0</v>
      </c>
      <c r="J230" s="387">
        <v>0</v>
      </c>
      <c r="K230" s="387">
        <v>0</v>
      </c>
      <c r="L230" s="387">
        <v>0</v>
      </c>
      <c r="M230" s="387"/>
      <c r="N230" s="387" t="s">
        <v>736</v>
      </c>
      <c r="O230" s="387" t="s">
        <v>732</v>
      </c>
      <c r="P230" s="387">
        <v>0</v>
      </c>
      <c r="Q230" s="388">
        <v>37764.708333333336</v>
      </c>
      <c r="R230" s="390"/>
    </row>
    <row r="231" spans="1:18" ht="12.75" outlineLevel="4">
      <c r="A231" s="385" t="s">
        <v>1664</v>
      </c>
      <c r="B231" s="386" t="s">
        <v>1702</v>
      </c>
      <c r="C231" s="387">
        <v>0</v>
      </c>
      <c r="D231" s="387">
        <v>0</v>
      </c>
      <c r="E231" s="387">
        <v>0</v>
      </c>
      <c r="F231" s="387">
        <v>0</v>
      </c>
      <c r="G231" s="387">
        <v>0</v>
      </c>
      <c r="H231" s="387">
        <v>0</v>
      </c>
      <c r="I231" s="387">
        <v>0</v>
      </c>
      <c r="J231" s="387">
        <v>0</v>
      </c>
      <c r="K231" s="387">
        <v>0</v>
      </c>
      <c r="L231" s="387">
        <v>0</v>
      </c>
      <c r="M231" s="387"/>
      <c r="N231" s="387" t="s">
        <v>736</v>
      </c>
      <c r="O231" s="387" t="s">
        <v>732</v>
      </c>
      <c r="P231" s="387">
        <v>0</v>
      </c>
      <c r="Q231" s="388">
        <v>37778.708333333336</v>
      </c>
      <c r="R231" s="390"/>
    </row>
    <row r="232" spans="1:18" ht="12.75" outlineLevel="3">
      <c r="A232" s="401" t="s">
        <v>1665</v>
      </c>
      <c r="B232" s="402" t="s">
        <v>1840</v>
      </c>
      <c r="C232" s="387">
        <v>0</v>
      </c>
      <c r="D232" s="387">
        <v>0</v>
      </c>
      <c r="E232" s="387">
        <v>0</v>
      </c>
      <c r="F232" s="387">
        <v>3155</v>
      </c>
      <c r="G232" s="387">
        <v>3155</v>
      </c>
      <c r="H232" s="387">
        <v>0</v>
      </c>
      <c r="I232" s="387">
        <v>0</v>
      </c>
      <c r="J232" s="387">
        <v>6000</v>
      </c>
      <c r="K232" s="387">
        <v>6442.408561706543</v>
      </c>
      <c r="L232" s="387">
        <v>6442.408561706543</v>
      </c>
      <c r="M232" s="387"/>
      <c r="N232" s="387" t="s">
        <v>736</v>
      </c>
      <c r="O232" s="387" t="s">
        <v>732</v>
      </c>
      <c r="P232" s="387">
        <v>0</v>
      </c>
      <c r="Q232" s="388">
        <v>37764.708333333336</v>
      </c>
      <c r="R232" s="390"/>
    </row>
    <row r="233" spans="1:18" ht="12.75" outlineLevel="3">
      <c r="A233" s="380" t="s">
        <v>1666</v>
      </c>
      <c r="B233" s="381" t="s">
        <v>1674</v>
      </c>
      <c r="C233" s="382">
        <f>0+C234+C235+C236</f>
        <v>0</v>
      </c>
      <c r="D233" s="382">
        <f>0+D234+D235+D236</f>
        <v>0</v>
      </c>
      <c r="E233" s="382">
        <f>0+E234+E235+E236</f>
        <v>0</v>
      </c>
      <c r="F233" s="382">
        <f>0+F234+F235+F236</f>
        <v>0</v>
      </c>
      <c r="G233" s="382">
        <f>F233+E233</f>
        <v>0</v>
      </c>
      <c r="H233" s="382">
        <f>D233-C233</f>
        <v>0</v>
      </c>
      <c r="I233" s="382">
        <f>D233-E233</f>
        <v>0</v>
      </c>
      <c r="J233" s="382">
        <f>+J234+J235+J236</f>
        <v>1800</v>
      </c>
      <c r="K233" s="382">
        <f>+K234+K235+K236</f>
        <v>1932.722568511963</v>
      </c>
      <c r="L233" s="382">
        <f>+L234+L235+L236</f>
        <v>1932.722568511963</v>
      </c>
      <c r="M233" s="382">
        <f>K233-L233</f>
        <v>0</v>
      </c>
      <c r="N233" s="382" t="s">
        <v>768</v>
      </c>
      <c r="O233" s="382" t="s">
        <v>732</v>
      </c>
      <c r="P233" s="382">
        <v>12</v>
      </c>
      <c r="Q233" s="383">
        <v>37872.42590277778</v>
      </c>
      <c r="R233" s="384"/>
    </row>
    <row r="234" spans="1:18" ht="12.75" outlineLevel="4">
      <c r="A234" s="385" t="s">
        <v>1675</v>
      </c>
      <c r="B234" s="386" t="s">
        <v>585</v>
      </c>
      <c r="C234" s="387">
        <v>0</v>
      </c>
      <c r="D234" s="387">
        <v>0</v>
      </c>
      <c r="E234" s="387">
        <v>0</v>
      </c>
      <c r="F234" s="387">
        <v>0</v>
      </c>
      <c r="G234" s="387">
        <v>0</v>
      </c>
      <c r="H234" s="387">
        <v>0</v>
      </c>
      <c r="I234" s="387">
        <v>0</v>
      </c>
      <c r="J234" s="387">
        <v>1800</v>
      </c>
      <c r="K234" s="387">
        <v>1932.722568511963</v>
      </c>
      <c r="L234" s="387">
        <v>1932.722568511963</v>
      </c>
      <c r="M234" s="387"/>
      <c r="N234" s="387" t="s">
        <v>736</v>
      </c>
      <c r="O234" s="387" t="s">
        <v>732</v>
      </c>
      <c r="P234" s="387">
        <v>0</v>
      </c>
      <c r="Q234" s="388">
        <v>37830.42590277778</v>
      </c>
      <c r="R234" s="390"/>
    </row>
    <row r="235" spans="1:18" ht="12.75" outlineLevel="4">
      <c r="A235" s="385" t="s">
        <v>1676</v>
      </c>
      <c r="B235" s="386" t="s">
        <v>1708</v>
      </c>
      <c r="C235" s="387">
        <v>0</v>
      </c>
      <c r="D235" s="387">
        <v>0</v>
      </c>
      <c r="E235" s="387">
        <v>0</v>
      </c>
      <c r="F235" s="387">
        <v>0</v>
      </c>
      <c r="G235" s="387">
        <v>0</v>
      </c>
      <c r="H235" s="387">
        <v>0</v>
      </c>
      <c r="I235" s="387">
        <v>0</v>
      </c>
      <c r="J235" s="387">
        <v>0</v>
      </c>
      <c r="K235" s="387">
        <v>0</v>
      </c>
      <c r="L235" s="387">
        <v>0</v>
      </c>
      <c r="M235" s="387"/>
      <c r="N235" s="387" t="s">
        <v>736</v>
      </c>
      <c r="O235" s="387" t="s">
        <v>732</v>
      </c>
      <c r="P235" s="387">
        <v>0</v>
      </c>
      <c r="Q235" s="388">
        <v>37858.42590277778</v>
      </c>
      <c r="R235" s="390"/>
    </row>
    <row r="236" spans="1:18" ht="12.75" outlineLevel="4">
      <c r="A236" s="385" t="s">
        <v>1677</v>
      </c>
      <c r="B236" s="386" t="s">
        <v>1710</v>
      </c>
      <c r="C236" s="387">
        <v>0</v>
      </c>
      <c r="D236" s="387">
        <v>0</v>
      </c>
      <c r="E236" s="387">
        <v>0</v>
      </c>
      <c r="F236" s="387">
        <v>0</v>
      </c>
      <c r="G236" s="387">
        <v>0</v>
      </c>
      <c r="H236" s="387">
        <v>0</v>
      </c>
      <c r="I236" s="387">
        <v>0</v>
      </c>
      <c r="J236" s="387">
        <v>0</v>
      </c>
      <c r="K236" s="387">
        <v>0</v>
      </c>
      <c r="L236" s="387">
        <v>0</v>
      </c>
      <c r="M236" s="387"/>
      <c r="N236" s="387" t="s">
        <v>736</v>
      </c>
      <c r="O236" s="387" t="s">
        <v>732</v>
      </c>
      <c r="P236" s="387">
        <v>0</v>
      </c>
      <c r="Q236" s="388">
        <v>37872.42590277778</v>
      </c>
      <c r="R236" s="390"/>
    </row>
    <row r="237" spans="1:18" ht="12.75" outlineLevel="3">
      <c r="A237" s="380" t="s">
        <v>1678</v>
      </c>
      <c r="B237" s="381" t="s">
        <v>1757</v>
      </c>
      <c r="C237" s="382">
        <f>0+C238+C239</f>
        <v>0</v>
      </c>
      <c r="D237" s="382">
        <f>0+D238+D239</f>
        <v>0</v>
      </c>
      <c r="E237" s="382">
        <f>0+E238+E239</f>
        <v>0</v>
      </c>
      <c r="F237" s="382">
        <f>0+F238+F239</f>
        <v>0</v>
      </c>
      <c r="G237" s="382">
        <f>F237+E237</f>
        <v>0</v>
      </c>
      <c r="H237" s="382">
        <f>D237-C237</f>
        <v>0</v>
      </c>
      <c r="I237" s="382">
        <f>D237-E237</f>
        <v>0</v>
      </c>
      <c r="J237" s="382">
        <f>+J238+J239</f>
        <v>0</v>
      </c>
      <c r="K237" s="382">
        <f>+K238+K239</f>
        <v>0</v>
      </c>
      <c r="L237" s="382">
        <f>+L238+L239</f>
        <v>0</v>
      </c>
      <c r="M237" s="382">
        <f>K237-L237</f>
        <v>0</v>
      </c>
      <c r="N237" s="382" t="s">
        <v>768</v>
      </c>
      <c r="O237" s="382" t="s">
        <v>732</v>
      </c>
      <c r="P237" s="382">
        <v>0</v>
      </c>
      <c r="Q237" s="383">
        <v>37813.708333333336</v>
      </c>
      <c r="R237" s="384"/>
    </row>
    <row r="238" spans="1:18" ht="12.75" outlineLevel="4">
      <c r="A238" s="385" t="s">
        <v>1679</v>
      </c>
      <c r="B238" s="386" t="s">
        <v>1759</v>
      </c>
      <c r="C238" s="387">
        <v>0</v>
      </c>
      <c r="D238" s="387">
        <v>0</v>
      </c>
      <c r="E238" s="387">
        <v>0</v>
      </c>
      <c r="F238" s="387">
        <v>0</v>
      </c>
      <c r="G238" s="387">
        <v>0</v>
      </c>
      <c r="H238" s="387">
        <v>0</v>
      </c>
      <c r="I238" s="387">
        <v>0</v>
      </c>
      <c r="J238" s="387">
        <v>0</v>
      </c>
      <c r="K238" s="387">
        <v>0</v>
      </c>
      <c r="L238" s="387">
        <v>0</v>
      </c>
      <c r="M238" s="387"/>
      <c r="N238" s="387" t="s">
        <v>736</v>
      </c>
      <c r="O238" s="387" t="s">
        <v>732</v>
      </c>
      <c r="P238" s="387">
        <v>0</v>
      </c>
      <c r="Q238" s="388">
        <v>37799.708333333336</v>
      </c>
      <c r="R238" s="390"/>
    </row>
    <row r="239" spans="1:18" ht="12.75" outlineLevel="4">
      <c r="A239" s="385" t="s">
        <v>1680</v>
      </c>
      <c r="B239" s="386" t="s">
        <v>1719</v>
      </c>
      <c r="C239" s="387">
        <v>0</v>
      </c>
      <c r="D239" s="387">
        <v>0</v>
      </c>
      <c r="E239" s="387">
        <v>0</v>
      </c>
      <c r="F239" s="387">
        <v>0</v>
      </c>
      <c r="G239" s="387">
        <v>0</v>
      </c>
      <c r="H239" s="387">
        <v>0</v>
      </c>
      <c r="I239" s="387">
        <v>0</v>
      </c>
      <c r="J239" s="387">
        <v>0</v>
      </c>
      <c r="K239" s="387">
        <v>0</v>
      </c>
      <c r="L239" s="387">
        <v>0</v>
      </c>
      <c r="M239" s="387"/>
      <c r="N239" s="387" t="s">
        <v>736</v>
      </c>
      <c r="O239" s="387" t="s">
        <v>732</v>
      </c>
      <c r="P239" s="387">
        <v>0</v>
      </c>
      <c r="Q239" s="388">
        <v>37813.708333333336</v>
      </c>
      <c r="R239" s="390"/>
    </row>
    <row r="240" spans="1:18" ht="12.75" outlineLevel="3">
      <c r="A240" s="380" t="s">
        <v>1681</v>
      </c>
      <c r="B240" s="381" t="s">
        <v>1586</v>
      </c>
      <c r="C240" s="382">
        <f>0+C241+C242+C243+C244</f>
        <v>0</v>
      </c>
      <c r="D240" s="382">
        <f>0+D241+D242+D243+D244</f>
        <v>0</v>
      </c>
      <c r="E240" s="382">
        <f>0+E241+E242+E243+E244</f>
        <v>0</v>
      </c>
      <c r="F240" s="382">
        <f>0+F241+F242+F243+F244</f>
        <v>0</v>
      </c>
      <c r="G240" s="382">
        <f>F240+E240</f>
        <v>0</v>
      </c>
      <c r="H240" s="382">
        <f>D240-C240</f>
        <v>0</v>
      </c>
      <c r="I240" s="382">
        <f>D240-E240</f>
        <v>0</v>
      </c>
      <c r="J240" s="382">
        <f>+J241+J242+J243+J244</f>
        <v>6000</v>
      </c>
      <c r="K240" s="382">
        <f>+K241+K242+K243+K244</f>
        <v>6442.408561706543</v>
      </c>
      <c r="L240" s="382">
        <f>+L241+L242+L243+L244</f>
        <v>6442.408561706543</v>
      </c>
      <c r="M240" s="382">
        <f>K240-L240</f>
        <v>0</v>
      </c>
      <c r="N240" s="382" t="s">
        <v>742</v>
      </c>
      <c r="O240" s="382" t="s">
        <v>732</v>
      </c>
      <c r="P240" s="382">
        <v>0</v>
      </c>
      <c r="Q240" s="383">
        <v>37834.708333333336</v>
      </c>
      <c r="R240" s="384"/>
    </row>
    <row r="241" spans="1:18" ht="12.75" outlineLevel="4">
      <c r="A241" s="385" t="s">
        <v>1682</v>
      </c>
      <c r="B241" s="386" t="s">
        <v>1525</v>
      </c>
      <c r="C241" s="387">
        <v>0</v>
      </c>
      <c r="D241" s="387">
        <v>0</v>
      </c>
      <c r="E241" s="387">
        <v>0</v>
      </c>
      <c r="F241" s="387">
        <v>0</v>
      </c>
      <c r="G241" s="387">
        <v>0</v>
      </c>
      <c r="H241" s="387">
        <v>0</v>
      </c>
      <c r="I241" s="387">
        <v>0</v>
      </c>
      <c r="J241" s="387">
        <v>6000</v>
      </c>
      <c r="K241" s="387">
        <v>6442.408561706543</v>
      </c>
      <c r="L241" s="387">
        <v>6442.408561706543</v>
      </c>
      <c r="M241" s="387"/>
      <c r="N241" s="387" t="s">
        <v>344</v>
      </c>
      <c r="O241" s="387" t="s">
        <v>732</v>
      </c>
      <c r="P241" s="387">
        <v>0</v>
      </c>
      <c r="Q241" s="388">
        <v>37792.708333333336</v>
      </c>
      <c r="R241" s="390"/>
    </row>
    <row r="242" spans="1:18" ht="12.75" outlineLevel="4">
      <c r="A242" s="385" t="s">
        <v>1683</v>
      </c>
      <c r="B242" s="386" t="s">
        <v>1588</v>
      </c>
      <c r="C242" s="387">
        <v>0</v>
      </c>
      <c r="D242" s="387">
        <v>0</v>
      </c>
      <c r="E242" s="387">
        <v>0</v>
      </c>
      <c r="F242" s="387">
        <v>0</v>
      </c>
      <c r="G242" s="387">
        <v>0</v>
      </c>
      <c r="H242" s="387">
        <v>0</v>
      </c>
      <c r="I242" s="387">
        <v>0</v>
      </c>
      <c r="J242" s="387">
        <v>0</v>
      </c>
      <c r="K242" s="387">
        <v>0</v>
      </c>
      <c r="L242" s="387">
        <v>0</v>
      </c>
      <c r="M242" s="387"/>
      <c r="N242" s="387" t="s">
        <v>344</v>
      </c>
      <c r="O242" s="387" t="s">
        <v>732</v>
      </c>
      <c r="P242" s="387">
        <v>0</v>
      </c>
      <c r="Q242" s="388">
        <v>37820.708333333336</v>
      </c>
      <c r="R242" s="390"/>
    </row>
    <row r="243" spans="1:18" ht="12.75" outlineLevel="4">
      <c r="A243" s="385" t="s">
        <v>1684</v>
      </c>
      <c r="B243" s="386" t="s">
        <v>1589</v>
      </c>
      <c r="C243" s="387">
        <v>0</v>
      </c>
      <c r="D243" s="387">
        <v>0</v>
      </c>
      <c r="E243" s="387">
        <v>0</v>
      </c>
      <c r="F243" s="387">
        <v>0</v>
      </c>
      <c r="G243" s="387">
        <v>0</v>
      </c>
      <c r="H243" s="387">
        <v>0</v>
      </c>
      <c r="I243" s="387">
        <v>0</v>
      </c>
      <c r="J243" s="387">
        <v>0</v>
      </c>
      <c r="K243" s="387">
        <v>0</v>
      </c>
      <c r="L243" s="387">
        <v>0</v>
      </c>
      <c r="M243" s="387"/>
      <c r="N243" s="387" t="s">
        <v>344</v>
      </c>
      <c r="O243" s="387" t="s">
        <v>732</v>
      </c>
      <c r="P243" s="387">
        <v>0</v>
      </c>
      <c r="Q243" s="388">
        <v>37834.708333333336</v>
      </c>
      <c r="R243" s="390"/>
    </row>
    <row r="244" spans="1:18" ht="12.75" outlineLevel="4">
      <c r="A244" s="385" t="s">
        <v>1685</v>
      </c>
      <c r="B244" s="386" t="s">
        <v>1795</v>
      </c>
      <c r="C244" s="387">
        <v>0</v>
      </c>
      <c r="D244" s="387">
        <v>0</v>
      </c>
      <c r="E244" s="387">
        <v>0</v>
      </c>
      <c r="F244" s="387">
        <v>0</v>
      </c>
      <c r="G244" s="387">
        <v>0</v>
      </c>
      <c r="H244" s="387">
        <v>0</v>
      </c>
      <c r="I244" s="387">
        <v>0</v>
      </c>
      <c r="J244" s="387">
        <v>0</v>
      </c>
      <c r="K244" s="387">
        <v>0</v>
      </c>
      <c r="L244" s="387">
        <v>0</v>
      </c>
      <c r="M244" s="387"/>
      <c r="N244" s="387" t="s">
        <v>344</v>
      </c>
      <c r="O244" s="387" t="s">
        <v>732</v>
      </c>
      <c r="P244" s="387">
        <v>0</v>
      </c>
      <c r="Q244" s="388">
        <v>37729.708333333336</v>
      </c>
      <c r="R244" s="390"/>
    </row>
    <row r="245" spans="1:18" ht="12.75" outlineLevel="3">
      <c r="A245" s="380" t="s">
        <v>537</v>
      </c>
      <c r="B245" s="381" t="s">
        <v>538</v>
      </c>
      <c r="C245" s="382">
        <f>0+C246+C247+C248+C249+C250+C251+C252+C253</f>
        <v>93377.5</v>
      </c>
      <c r="D245" s="382">
        <f>0+D246+D247+D248+D249+D250+D251+D252+D253</f>
        <v>0</v>
      </c>
      <c r="E245" s="382">
        <f>0+E246+E247+E248+E249+E250+E251+E252+E253</f>
        <v>0</v>
      </c>
      <c r="F245" s="382">
        <f>0+F246+F247+F248+F249+F250+F251+F252+F253</f>
        <v>0</v>
      </c>
      <c r="G245" s="382">
        <f>F245+E245</f>
        <v>0</v>
      </c>
      <c r="H245" s="382">
        <f>D245-C245</f>
        <v>-93377.5</v>
      </c>
      <c r="I245" s="382">
        <f>D245-E245</f>
        <v>0</v>
      </c>
      <c r="J245" s="382">
        <f>+J246+J247+J248+J249+J250+J251+J252+J253</f>
        <v>101660</v>
      </c>
      <c r="K245" s="382">
        <f>+K246+K247+K248+K249+K250+K251+K252+K253</f>
        <v>104999.6022439003</v>
      </c>
      <c r="L245" s="382">
        <f>+L246+L247+L248+L249+L250+L251+L252+L253</f>
        <v>104999.6022439003</v>
      </c>
      <c r="M245" s="382">
        <f>K245-L245</f>
        <v>0</v>
      </c>
      <c r="N245" s="382" t="s">
        <v>536</v>
      </c>
      <c r="O245" s="382" t="s">
        <v>732</v>
      </c>
      <c r="P245" s="382">
        <v>0</v>
      </c>
      <c r="Q245" s="383">
        <v>37964.708333333336</v>
      </c>
      <c r="R245" s="384"/>
    </row>
    <row r="246" spans="1:18" ht="12.75" outlineLevel="4">
      <c r="A246" s="385" t="s">
        <v>539</v>
      </c>
      <c r="B246" s="386" t="s">
        <v>540</v>
      </c>
      <c r="C246" s="387">
        <v>13837.5</v>
      </c>
      <c r="D246" s="387">
        <v>0</v>
      </c>
      <c r="E246" s="387">
        <v>0</v>
      </c>
      <c r="F246" s="387">
        <v>0</v>
      </c>
      <c r="G246" s="387">
        <v>0</v>
      </c>
      <c r="H246" s="387">
        <v>-13837.5</v>
      </c>
      <c r="I246" s="387">
        <v>0</v>
      </c>
      <c r="J246" s="387">
        <v>13500</v>
      </c>
      <c r="K246" s="387">
        <v>13837.499678134918</v>
      </c>
      <c r="L246" s="387">
        <v>13837.499678134918</v>
      </c>
      <c r="M246" s="387"/>
      <c r="N246" s="387" t="s">
        <v>738</v>
      </c>
      <c r="O246" s="387" t="s">
        <v>732</v>
      </c>
      <c r="P246" s="387">
        <v>0</v>
      </c>
      <c r="Q246" s="388">
        <v>36861.708333333336</v>
      </c>
      <c r="R246" s="390"/>
    </row>
    <row r="247" spans="1:18" ht="12.75" outlineLevel="4">
      <c r="A247" s="385" t="s">
        <v>541</v>
      </c>
      <c r="B247" s="386" t="s">
        <v>542</v>
      </c>
      <c r="C247" s="387">
        <v>9840</v>
      </c>
      <c r="D247" s="387">
        <v>0</v>
      </c>
      <c r="E247" s="387">
        <v>0</v>
      </c>
      <c r="F247" s="387">
        <v>0</v>
      </c>
      <c r="G247" s="387">
        <v>0</v>
      </c>
      <c r="H247" s="387">
        <v>-9840</v>
      </c>
      <c r="I247" s="387">
        <v>0</v>
      </c>
      <c r="J247" s="387">
        <v>9600</v>
      </c>
      <c r="K247" s="387">
        <v>9839.999771118164</v>
      </c>
      <c r="L247" s="387">
        <v>9839.999771118164</v>
      </c>
      <c r="M247" s="387"/>
      <c r="N247" s="387" t="s">
        <v>738</v>
      </c>
      <c r="O247" s="387" t="s">
        <v>732</v>
      </c>
      <c r="P247" s="387">
        <v>0</v>
      </c>
      <c r="Q247" s="388">
        <v>36987.708333333336</v>
      </c>
      <c r="R247" s="390"/>
    </row>
    <row r="248" spans="1:18" ht="12.75" outlineLevel="4">
      <c r="A248" s="385" t="s">
        <v>543</v>
      </c>
      <c r="B248" s="386" t="s">
        <v>544</v>
      </c>
      <c r="C248" s="387">
        <v>14350</v>
      </c>
      <c r="D248" s="387">
        <v>0</v>
      </c>
      <c r="E248" s="387">
        <v>0</v>
      </c>
      <c r="F248" s="387">
        <v>0</v>
      </c>
      <c r="G248" s="387">
        <v>0</v>
      </c>
      <c r="H248" s="387">
        <v>-14350</v>
      </c>
      <c r="I248" s="387">
        <v>0</v>
      </c>
      <c r="J248" s="387">
        <v>14000</v>
      </c>
      <c r="K248" s="387">
        <v>14349.99966621399</v>
      </c>
      <c r="L248" s="387">
        <v>14349.99966621399</v>
      </c>
      <c r="M248" s="387"/>
      <c r="N248" s="387" t="s">
        <v>738</v>
      </c>
      <c r="O248" s="387" t="s">
        <v>732</v>
      </c>
      <c r="P248" s="387">
        <v>0</v>
      </c>
      <c r="Q248" s="388">
        <v>37015.708333333336</v>
      </c>
      <c r="R248" s="390"/>
    </row>
    <row r="249" spans="1:18" ht="12.75" outlineLevel="4">
      <c r="A249" s="385" t="s">
        <v>545</v>
      </c>
      <c r="B249" s="386" t="s">
        <v>546</v>
      </c>
      <c r="C249" s="387">
        <v>20500</v>
      </c>
      <c r="D249" s="387">
        <v>0</v>
      </c>
      <c r="E249" s="387">
        <v>0</v>
      </c>
      <c r="F249" s="387">
        <v>0</v>
      </c>
      <c r="G249" s="387">
        <v>0</v>
      </c>
      <c r="H249" s="387">
        <v>-20500</v>
      </c>
      <c r="I249" s="387">
        <v>0</v>
      </c>
      <c r="J249" s="387">
        <v>20000</v>
      </c>
      <c r="K249" s="387">
        <v>20499.99952316284</v>
      </c>
      <c r="L249" s="387">
        <v>20499.99952316284</v>
      </c>
      <c r="M249" s="387"/>
      <c r="N249" s="387" t="s">
        <v>738</v>
      </c>
      <c r="O249" s="387" t="s">
        <v>732</v>
      </c>
      <c r="P249" s="387">
        <v>0</v>
      </c>
      <c r="Q249" s="388">
        <v>37015.708333333336</v>
      </c>
      <c r="R249" s="390"/>
    </row>
    <row r="250" spans="1:18" ht="12.75" outlineLevel="4">
      <c r="A250" s="385" t="s">
        <v>547</v>
      </c>
      <c r="B250" s="386" t="s">
        <v>548</v>
      </c>
      <c r="C250" s="387">
        <v>4100</v>
      </c>
      <c r="D250" s="387">
        <v>0</v>
      </c>
      <c r="E250" s="387">
        <v>0</v>
      </c>
      <c r="F250" s="387">
        <v>0</v>
      </c>
      <c r="G250" s="387">
        <v>0</v>
      </c>
      <c r="H250" s="387">
        <v>-4100</v>
      </c>
      <c r="I250" s="387">
        <v>0</v>
      </c>
      <c r="J250" s="387">
        <v>4000</v>
      </c>
      <c r="K250" s="387">
        <v>4099.999904632568</v>
      </c>
      <c r="L250" s="387">
        <v>4099.999904632568</v>
      </c>
      <c r="M250" s="387"/>
      <c r="N250" s="387" t="s">
        <v>738</v>
      </c>
      <c r="O250" s="387" t="s">
        <v>732</v>
      </c>
      <c r="P250" s="387">
        <v>0</v>
      </c>
      <c r="Q250" s="388">
        <v>37015.708333333336</v>
      </c>
      <c r="R250" s="390"/>
    </row>
    <row r="251" spans="1:18" ht="12.75" outlineLevel="4">
      <c r="A251" s="385" t="s">
        <v>549</v>
      </c>
      <c r="B251" s="386" t="s">
        <v>1829</v>
      </c>
      <c r="C251" s="387">
        <v>30750</v>
      </c>
      <c r="D251" s="387">
        <v>0</v>
      </c>
      <c r="E251" s="387">
        <v>0</v>
      </c>
      <c r="F251" s="387">
        <v>0</v>
      </c>
      <c r="G251" s="387">
        <v>0</v>
      </c>
      <c r="H251" s="387">
        <v>-30750</v>
      </c>
      <c r="I251" s="387">
        <v>0</v>
      </c>
      <c r="J251" s="387">
        <v>30000</v>
      </c>
      <c r="K251" s="387">
        <v>30749.999284744263</v>
      </c>
      <c r="L251" s="387">
        <v>30749.999284744263</v>
      </c>
      <c r="M251" s="387"/>
      <c r="N251" s="387" t="s">
        <v>738</v>
      </c>
      <c r="O251" s="387" t="s">
        <v>732</v>
      </c>
      <c r="P251" s="387">
        <v>0</v>
      </c>
      <c r="Q251" s="388">
        <v>37043.708333333336</v>
      </c>
      <c r="R251" s="390"/>
    </row>
    <row r="252" spans="1:18" ht="12.75" outlineLevel="4">
      <c r="A252" s="385" t="s">
        <v>550</v>
      </c>
      <c r="B252" s="386" t="s">
        <v>551</v>
      </c>
      <c r="C252" s="387">
        <v>0</v>
      </c>
      <c r="D252" s="387">
        <v>0</v>
      </c>
      <c r="E252" s="387">
        <v>0</v>
      </c>
      <c r="F252" s="387">
        <v>0</v>
      </c>
      <c r="G252" s="387">
        <v>0</v>
      </c>
      <c r="H252" s="387">
        <v>0</v>
      </c>
      <c r="I252" s="387">
        <v>0</v>
      </c>
      <c r="J252" s="387">
        <v>2560</v>
      </c>
      <c r="K252" s="387">
        <v>2817.4798583984375</v>
      </c>
      <c r="L252" s="387">
        <v>2817.4798583984375</v>
      </c>
      <c r="M252" s="387"/>
      <c r="N252" s="387" t="s">
        <v>738</v>
      </c>
      <c r="O252" s="387" t="s">
        <v>732</v>
      </c>
      <c r="P252" s="387">
        <v>0</v>
      </c>
      <c r="Q252" s="388">
        <v>37922.708333333336</v>
      </c>
      <c r="R252" s="390"/>
    </row>
    <row r="253" spans="1:18" ht="12.75" outlineLevel="4">
      <c r="A253" s="385" t="s">
        <v>552</v>
      </c>
      <c r="B253" s="386" t="s">
        <v>553</v>
      </c>
      <c r="C253" s="387">
        <v>0</v>
      </c>
      <c r="D253" s="387">
        <v>0</v>
      </c>
      <c r="E253" s="387">
        <v>0</v>
      </c>
      <c r="F253" s="387">
        <v>0</v>
      </c>
      <c r="G253" s="387">
        <v>0</v>
      </c>
      <c r="H253" s="387">
        <v>0</v>
      </c>
      <c r="I253" s="387">
        <v>0</v>
      </c>
      <c r="J253" s="387">
        <v>8000</v>
      </c>
      <c r="K253" s="387">
        <v>8804.624557495117</v>
      </c>
      <c r="L253" s="387">
        <v>8804.624557495117</v>
      </c>
      <c r="M253" s="387"/>
      <c r="N253" s="387" t="s">
        <v>738</v>
      </c>
      <c r="O253" s="387" t="s">
        <v>732</v>
      </c>
      <c r="P253" s="387">
        <v>0</v>
      </c>
      <c r="Q253" s="388">
        <v>37964.708333333336</v>
      </c>
      <c r="R253" s="390"/>
    </row>
  </sheetData>
  <printOptions/>
  <pageMargins left="0.75" right="0.75" top="1" bottom="1" header="0.5" footer="0.5"/>
  <pageSetup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2"/>
  <sheetViews>
    <sheetView workbookViewId="0" topLeftCell="A1">
      <pane ySplit="765" topLeftCell="BM153" activePane="bottomLeft" state="split"/>
      <selection pane="topLeft" activeCell="E7" sqref="E1:E16384"/>
      <selection pane="bottomLeft" activeCell="D14" sqref="D14"/>
    </sheetView>
  </sheetViews>
  <sheetFormatPr defaultColWidth="9.140625" defaultRowHeight="12.75" outlineLevelRow="6"/>
  <cols>
    <col min="1" max="1" width="15.28125" style="6" bestFit="1" customWidth="1"/>
    <col min="2" max="2" width="57.57421875" style="6" customWidth="1"/>
    <col min="3" max="3" width="17.57421875" style="6" customWidth="1"/>
    <col min="4" max="4" width="16.28125" style="6" customWidth="1"/>
    <col min="5" max="5" width="16.140625" style="225" customWidth="1"/>
    <col min="6" max="7" width="15.421875" style="225" customWidth="1"/>
    <col min="8" max="8" width="14.8515625" style="225" customWidth="1"/>
    <col min="9" max="9" width="9.7109375" style="6" bestFit="1" customWidth="1"/>
    <col min="10" max="16384" width="9.140625" style="6" customWidth="1"/>
  </cols>
  <sheetData>
    <row r="1" spans="8:11" ht="12.75">
      <c r="H1" s="411" t="s">
        <v>522</v>
      </c>
      <c r="I1" s="516" t="s">
        <v>583</v>
      </c>
      <c r="J1" s="516"/>
      <c r="K1" s="6" t="s">
        <v>584</v>
      </c>
    </row>
    <row r="2" spans="1:11" ht="12.75">
      <c r="A2" s="6" t="s">
        <v>166</v>
      </c>
      <c r="B2" s="6" t="s">
        <v>1569</v>
      </c>
      <c r="C2" s="6" t="s">
        <v>1614</v>
      </c>
      <c r="D2" s="6" t="s">
        <v>1570</v>
      </c>
      <c r="E2" s="225" t="s">
        <v>1501</v>
      </c>
      <c r="F2" s="225" t="s">
        <v>1019</v>
      </c>
      <c r="G2" s="225" t="s">
        <v>723</v>
      </c>
      <c r="H2" s="225" t="s">
        <v>1638</v>
      </c>
      <c r="I2" s="225" t="s">
        <v>1638</v>
      </c>
      <c r="J2" s="225" t="s">
        <v>723</v>
      </c>
      <c r="K2" s="225" t="s">
        <v>641</v>
      </c>
    </row>
    <row r="3" spans="1:8" s="7" customFormat="1" ht="12.75">
      <c r="A3" s="7" t="s">
        <v>169</v>
      </c>
      <c r="B3" s="7" t="s">
        <v>170</v>
      </c>
      <c r="C3" s="415">
        <v>37455592.730000004</v>
      </c>
      <c r="D3" s="416">
        <v>0.45</v>
      </c>
      <c r="E3" s="215">
        <f>(1-D3)*C3</f>
        <v>20600576.001500003</v>
      </c>
      <c r="F3" s="215"/>
      <c r="G3" s="215"/>
      <c r="H3" s="215"/>
    </row>
    <row r="4" spans="1:8" s="7" customFormat="1" ht="12.75" outlineLevel="1">
      <c r="A4" s="7" t="s">
        <v>171</v>
      </c>
      <c r="B4" s="7" t="s">
        <v>172</v>
      </c>
      <c r="C4" s="415">
        <v>27718930.35</v>
      </c>
      <c r="D4" s="416">
        <v>0.6</v>
      </c>
      <c r="E4" s="215">
        <f aca="true" t="shared" si="0" ref="E4:E64">(1-D4)*C4</f>
        <v>11087572.14</v>
      </c>
      <c r="F4" s="215"/>
      <c r="G4" s="215"/>
      <c r="H4" s="215">
        <f>H5</f>
        <v>2325528.591491646</v>
      </c>
    </row>
    <row r="5" spans="1:8" s="7" customFormat="1" ht="12.75" outlineLevel="2">
      <c r="A5" s="7" t="s">
        <v>1774</v>
      </c>
      <c r="B5" s="7" t="s">
        <v>1775</v>
      </c>
      <c r="C5" s="415">
        <v>2241221.72</v>
      </c>
      <c r="D5" s="416">
        <v>0.06</v>
      </c>
      <c r="E5" s="215">
        <f t="shared" si="0"/>
        <v>2106748.4168000002</v>
      </c>
      <c r="F5" s="215"/>
      <c r="G5" s="215"/>
      <c r="H5" s="215">
        <f>H6+H24+H40+H44+H48+H51+H67+H87+H97+H100+H104</f>
        <v>2325528.591491646</v>
      </c>
    </row>
    <row r="6" spans="1:8" s="7" customFormat="1" ht="12.75" outlineLevel="3">
      <c r="A6" s="7" t="s">
        <v>1776</v>
      </c>
      <c r="B6" s="7" t="s">
        <v>1777</v>
      </c>
      <c r="C6" s="415">
        <v>660023.2</v>
      </c>
      <c r="D6" s="416">
        <v>0.08</v>
      </c>
      <c r="E6" s="215">
        <f t="shared" si="0"/>
        <v>607221.344</v>
      </c>
      <c r="F6" s="215"/>
      <c r="G6" s="215"/>
      <c r="H6" s="215">
        <f>H7</f>
        <v>697840.4189834591</v>
      </c>
    </row>
    <row r="7" spans="1:8" s="7" customFormat="1" ht="12.75" outlineLevel="4">
      <c r="A7" s="7" t="s">
        <v>1571</v>
      </c>
      <c r="B7" s="7" t="s">
        <v>1572</v>
      </c>
      <c r="C7" s="415">
        <v>660023.2</v>
      </c>
      <c r="D7" s="416">
        <v>0.08</v>
      </c>
      <c r="E7" s="215">
        <f t="shared" si="0"/>
        <v>607221.344</v>
      </c>
      <c r="F7" s="215"/>
      <c r="G7" s="215"/>
      <c r="H7" s="215">
        <f>H8+H9+H10+H13+H16+H19</f>
        <v>697840.4189834591</v>
      </c>
    </row>
    <row r="8" spans="1:11" ht="12.75" outlineLevel="5">
      <c r="A8" s="6" t="s">
        <v>182</v>
      </c>
      <c r="B8" s="6" t="s">
        <v>1778</v>
      </c>
      <c r="C8" s="412">
        <v>0</v>
      </c>
      <c r="D8" s="413">
        <v>1</v>
      </c>
      <c r="E8" s="225">
        <f t="shared" si="0"/>
        <v>0</v>
      </c>
      <c r="H8" s="225">
        <v>0</v>
      </c>
      <c r="K8" s="225">
        <f>E8</f>
        <v>0</v>
      </c>
    </row>
    <row r="9" spans="1:11" ht="12.75" outlineLevel="5">
      <c r="A9" s="6" t="s">
        <v>187</v>
      </c>
      <c r="B9" s="6" t="s">
        <v>1779</v>
      </c>
      <c r="C9" s="412">
        <v>6720</v>
      </c>
      <c r="D9" s="413">
        <v>1</v>
      </c>
      <c r="E9" s="225">
        <f t="shared" si="0"/>
        <v>0</v>
      </c>
      <c r="G9" s="225">
        <f>'CPR 080202'!J17</f>
        <v>6720</v>
      </c>
      <c r="H9" s="225">
        <f>'CPR 080202'!K17</f>
        <v>6957.216110229492</v>
      </c>
      <c r="K9" s="225">
        <f>E9</f>
        <v>0</v>
      </c>
    </row>
    <row r="10" spans="1:8" s="7" customFormat="1" ht="12.75" outlineLevel="5">
      <c r="A10" s="7" t="s">
        <v>188</v>
      </c>
      <c r="B10" s="7" t="s">
        <v>1781</v>
      </c>
      <c r="C10" s="415">
        <v>58884</v>
      </c>
      <c r="D10" s="416">
        <v>1</v>
      </c>
      <c r="E10" s="215">
        <f t="shared" si="0"/>
        <v>0</v>
      </c>
      <c r="F10" s="215"/>
      <c r="G10" s="215"/>
      <c r="H10" s="215">
        <f>SUM(H11:H12)</f>
        <v>58884</v>
      </c>
    </row>
    <row r="11" spans="1:11" ht="12.75" outlineLevel="6">
      <c r="A11" s="6" t="s">
        <v>189</v>
      </c>
      <c r="B11" s="6" t="s">
        <v>1782</v>
      </c>
      <c r="C11" s="412">
        <v>40584</v>
      </c>
      <c r="D11" s="413">
        <v>1</v>
      </c>
      <c r="E11" s="225">
        <f t="shared" si="0"/>
        <v>0</v>
      </c>
      <c r="G11" s="225">
        <f>'CPR 080202'!J19</f>
        <v>40584</v>
      </c>
      <c r="H11" s="225">
        <f>'CPR 080202'!K19</f>
        <v>40584</v>
      </c>
      <c r="K11" s="225">
        <f>E11</f>
        <v>0</v>
      </c>
    </row>
    <row r="12" spans="1:8" s="417" customFormat="1" ht="12.75" outlineLevel="6">
      <c r="A12" s="417" t="s">
        <v>190</v>
      </c>
      <c r="B12" s="417" t="s">
        <v>1783</v>
      </c>
      <c r="C12" s="418">
        <v>18300</v>
      </c>
      <c r="D12" s="419">
        <v>1</v>
      </c>
      <c r="E12" s="420">
        <f t="shared" si="0"/>
        <v>0</v>
      </c>
      <c r="F12" s="420"/>
      <c r="G12" s="420">
        <f>'CPR 080202'!J20</f>
        <v>18300</v>
      </c>
      <c r="H12" s="420">
        <f>'CPR 080202'!K20</f>
        <v>18300</v>
      </c>
    </row>
    <row r="13" spans="1:8" s="7" customFormat="1" ht="12.75" outlineLevel="5">
      <c r="A13" s="7" t="s">
        <v>191</v>
      </c>
      <c r="B13" s="7" t="s">
        <v>1784</v>
      </c>
      <c r="C13" s="415">
        <v>98520</v>
      </c>
      <c r="D13" s="416">
        <v>1</v>
      </c>
      <c r="E13" s="215">
        <f t="shared" si="0"/>
        <v>0</v>
      </c>
      <c r="F13" s="215"/>
      <c r="G13" s="215"/>
      <c r="H13" s="215">
        <f>SUM(H14:H15)</f>
        <v>101081.17149353027</v>
      </c>
    </row>
    <row r="14" spans="1:11" ht="12.75" outlineLevel="6">
      <c r="A14" s="6" t="s">
        <v>192</v>
      </c>
      <c r="B14" s="6" t="s">
        <v>1785</v>
      </c>
      <c r="C14" s="412">
        <v>68520</v>
      </c>
      <c r="D14" s="413">
        <v>1</v>
      </c>
      <c r="E14" s="225">
        <f t="shared" si="0"/>
        <v>0</v>
      </c>
      <c r="H14" s="225">
        <f>'CPR 080202'!K22</f>
        <v>70331.17220878601</v>
      </c>
      <c r="K14" s="225">
        <f>E14</f>
        <v>0</v>
      </c>
    </row>
    <row r="15" spans="1:8" s="417" customFormat="1" ht="12.75" outlineLevel="6">
      <c r="A15" s="417" t="s">
        <v>193</v>
      </c>
      <c r="B15" s="417" t="s">
        <v>1786</v>
      </c>
      <c r="C15" s="418">
        <v>30000</v>
      </c>
      <c r="D15" s="419">
        <v>1</v>
      </c>
      <c r="E15" s="420">
        <f t="shared" si="0"/>
        <v>0</v>
      </c>
      <c r="F15" s="420"/>
      <c r="G15" s="420">
        <f>'CPR 080202'!J23</f>
        <v>30000</v>
      </c>
      <c r="H15" s="420">
        <f>'CPR 080202'!K23</f>
        <v>30749.999284744263</v>
      </c>
    </row>
    <row r="16" spans="1:8" s="7" customFormat="1" ht="12.75" outlineLevel="5">
      <c r="A16" s="7" t="s">
        <v>194</v>
      </c>
      <c r="B16" s="7" t="s">
        <v>1787</v>
      </c>
      <c r="C16" s="415">
        <v>70011.2</v>
      </c>
      <c r="D16" s="416">
        <v>0.88</v>
      </c>
      <c r="E16" s="215">
        <f t="shared" si="0"/>
        <v>8401.344</v>
      </c>
      <c r="F16" s="215"/>
      <c r="G16" s="215"/>
      <c r="H16" s="215">
        <f>SUM(H17:H18)</f>
        <v>73627.28179168701</v>
      </c>
    </row>
    <row r="17" spans="1:11" ht="12.75" outlineLevel="6">
      <c r="A17" s="6" t="s">
        <v>195</v>
      </c>
      <c r="B17" s="6" t="s">
        <v>1788</v>
      </c>
      <c r="C17" s="412">
        <v>50011.2</v>
      </c>
      <c r="D17" s="413">
        <v>0.8</v>
      </c>
      <c r="E17" s="225">
        <f t="shared" si="0"/>
        <v>10002.239999999998</v>
      </c>
      <c r="H17" s="225">
        <f>'CPR 080202'!K25</f>
        <v>52594.28084564209</v>
      </c>
      <c r="K17" s="225">
        <f>E17</f>
        <v>10002.239999999998</v>
      </c>
    </row>
    <row r="18" spans="1:8" s="417" customFormat="1" ht="12.75" outlineLevel="6">
      <c r="A18" s="417" t="s">
        <v>196</v>
      </c>
      <c r="B18" s="417" t="s">
        <v>1789</v>
      </c>
      <c r="C18" s="418">
        <v>20000</v>
      </c>
      <c r="D18" s="419">
        <v>0.9</v>
      </c>
      <c r="E18" s="420">
        <f t="shared" si="0"/>
        <v>1999.9999999999995</v>
      </c>
      <c r="F18" s="420"/>
      <c r="G18" s="420">
        <f>'CPR 080202'!J26</f>
        <v>20000</v>
      </c>
      <c r="H18" s="420">
        <f>'CPR 080202'!K26</f>
        <v>21033.000946044922</v>
      </c>
    </row>
    <row r="19" spans="1:8" s="7" customFormat="1" ht="12.75" outlineLevel="5">
      <c r="A19" s="7" t="s">
        <v>197</v>
      </c>
      <c r="B19" s="7" t="s">
        <v>1573</v>
      </c>
      <c r="C19" s="415">
        <v>425888</v>
      </c>
      <c r="D19" s="416">
        <v>0</v>
      </c>
      <c r="E19" s="215">
        <f t="shared" si="0"/>
        <v>425888</v>
      </c>
      <c r="F19" s="215"/>
      <c r="G19" s="215"/>
      <c r="H19" s="215">
        <f>SUM(H20:H23)</f>
        <v>457290.74958801235</v>
      </c>
    </row>
    <row r="20" spans="1:10" s="417" customFormat="1" ht="12.75" outlineLevel="6">
      <c r="A20" s="417" t="s">
        <v>198</v>
      </c>
      <c r="B20" s="417" t="s">
        <v>1791</v>
      </c>
      <c r="C20" s="418">
        <v>312686</v>
      </c>
      <c r="D20" s="419">
        <v>0</v>
      </c>
      <c r="E20" s="420">
        <f t="shared" si="0"/>
        <v>312686</v>
      </c>
      <c r="F20" s="420">
        <f>'Cost 12_11'!F51</f>
        <v>337938</v>
      </c>
      <c r="G20" s="420">
        <f>'CPR 080202'!J28</f>
        <v>312686</v>
      </c>
      <c r="H20" s="420">
        <f>'CPR 080202'!K28</f>
        <v>335741.827254295</v>
      </c>
      <c r="I20" s="420">
        <f>F20-H20</f>
        <v>2196.172745705</v>
      </c>
      <c r="J20" s="420">
        <f>F20-G20</f>
        <v>25252</v>
      </c>
    </row>
    <row r="21" spans="1:11" ht="12.75" outlineLevel="6">
      <c r="A21" s="6" t="s">
        <v>199</v>
      </c>
      <c r="B21" s="6" t="s">
        <v>1792</v>
      </c>
      <c r="C21" s="412">
        <v>110052</v>
      </c>
      <c r="D21" s="413">
        <v>0</v>
      </c>
      <c r="E21" s="225">
        <f t="shared" si="0"/>
        <v>110052</v>
      </c>
      <c r="H21" s="225">
        <f>'CPR 080202'!K29</f>
        <v>118166.65783882141</v>
      </c>
      <c r="K21" s="225">
        <f>E21</f>
        <v>110052</v>
      </c>
    </row>
    <row r="22" spans="1:10" s="417" customFormat="1" ht="12.75" outlineLevel="6">
      <c r="A22" s="417" t="s">
        <v>200</v>
      </c>
      <c r="B22" s="417" t="s">
        <v>1793</v>
      </c>
      <c r="C22" s="418">
        <v>3150</v>
      </c>
      <c r="D22" s="419">
        <v>0</v>
      </c>
      <c r="E22" s="420">
        <f t="shared" si="0"/>
        <v>3150</v>
      </c>
      <c r="F22" s="420">
        <f>'Cost 12_11'!F58</f>
        <v>1620</v>
      </c>
      <c r="G22" s="420">
        <f>'CPR 080202'!J30</f>
        <v>3150</v>
      </c>
      <c r="H22" s="420">
        <f>'CPR 080202'!K30</f>
        <v>3382.264494895935</v>
      </c>
      <c r="I22" s="420">
        <f>F22-H22</f>
        <v>-1762.264494895935</v>
      </c>
      <c r="J22" s="420">
        <f>F22-G22</f>
        <v>-1530</v>
      </c>
    </row>
    <row r="23" spans="1:8" s="417" customFormat="1" ht="12.75" outlineLevel="6">
      <c r="A23" s="417" t="s">
        <v>201</v>
      </c>
      <c r="B23" s="417" t="s">
        <v>1795</v>
      </c>
      <c r="C23" s="418">
        <v>0</v>
      </c>
      <c r="D23" s="419">
        <v>0</v>
      </c>
      <c r="E23" s="420">
        <f t="shared" si="0"/>
        <v>0</v>
      </c>
      <c r="F23" s="420"/>
      <c r="G23" s="420">
        <f>'CPR 080202'!J31</f>
        <v>0</v>
      </c>
      <c r="H23" s="420">
        <f>'CPR 080202'!K31</f>
        <v>0</v>
      </c>
    </row>
    <row r="24" spans="1:8" s="7" customFormat="1" ht="12.75" outlineLevel="3">
      <c r="A24" s="7" t="s">
        <v>1796</v>
      </c>
      <c r="B24" s="7" t="s">
        <v>1797</v>
      </c>
      <c r="C24" s="415">
        <v>383539.2</v>
      </c>
      <c r="D24" s="416">
        <v>0.41</v>
      </c>
      <c r="E24" s="215">
        <f t="shared" si="0"/>
        <v>226288.12800000003</v>
      </c>
      <c r="F24" s="215"/>
      <c r="G24" s="215"/>
      <c r="H24" s="215">
        <f>H25+H26+H29+H32+H35</f>
        <v>395894.7248497009</v>
      </c>
    </row>
    <row r="25" spans="1:8" s="7" customFormat="1" ht="12.75" outlineLevel="4">
      <c r="A25" s="7" t="s">
        <v>1798</v>
      </c>
      <c r="B25" s="7" t="s">
        <v>1801</v>
      </c>
      <c r="C25" s="415">
        <v>56412</v>
      </c>
      <c r="D25" s="416">
        <v>1</v>
      </c>
      <c r="E25" s="215">
        <f t="shared" si="0"/>
        <v>0</v>
      </c>
      <c r="F25" s="215"/>
      <c r="G25" s="215"/>
      <c r="H25" s="215">
        <f>'CPR 080202'!K33</f>
        <v>56412</v>
      </c>
    </row>
    <row r="26" spans="1:8" s="7" customFormat="1" ht="12.75" outlineLevel="4">
      <c r="A26" s="7" t="s">
        <v>1803</v>
      </c>
      <c r="B26" s="7" t="s">
        <v>1804</v>
      </c>
      <c r="C26" s="415">
        <v>113480</v>
      </c>
      <c r="D26" s="416">
        <v>1</v>
      </c>
      <c r="E26" s="215">
        <f t="shared" si="0"/>
        <v>0</v>
      </c>
      <c r="F26" s="215"/>
      <c r="G26" s="215"/>
      <c r="H26" s="215">
        <f>SUM(H27:H28)</f>
        <v>116675.19836425781</v>
      </c>
    </row>
    <row r="27" spans="1:11" ht="12.75" outlineLevel="5">
      <c r="A27" s="6" t="s">
        <v>1805</v>
      </c>
      <c r="B27" s="6" t="s">
        <v>1806</v>
      </c>
      <c r="C27" s="412">
        <v>74480</v>
      </c>
      <c r="D27" s="413">
        <v>1</v>
      </c>
      <c r="E27" s="225">
        <f t="shared" si="0"/>
        <v>0</v>
      </c>
      <c r="H27" s="225">
        <f>'CPR 080202'!K40</f>
        <v>77675.19836425781</v>
      </c>
      <c r="K27" s="225">
        <f>E27</f>
        <v>0</v>
      </c>
    </row>
    <row r="28" spans="1:8" s="417" customFormat="1" ht="12.75" outlineLevel="5">
      <c r="A28" s="417" t="s">
        <v>1809</v>
      </c>
      <c r="B28" s="417" t="s">
        <v>1810</v>
      </c>
      <c r="C28" s="418">
        <v>39000</v>
      </c>
      <c r="D28" s="419">
        <v>1</v>
      </c>
      <c r="E28" s="420">
        <f t="shared" si="0"/>
        <v>0</v>
      </c>
      <c r="F28" s="420"/>
      <c r="G28" s="420">
        <f>'CPR 080202'!J41</f>
        <v>39000</v>
      </c>
      <c r="H28" s="420">
        <f>'CPR 080202'!K41</f>
        <v>39000</v>
      </c>
    </row>
    <row r="29" spans="1:8" s="7" customFormat="1" ht="12.75" outlineLevel="4">
      <c r="A29" s="7" t="s">
        <v>1811</v>
      </c>
      <c r="B29" s="7" t="s">
        <v>1812</v>
      </c>
      <c r="C29" s="415">
        <v>73200</v>
      </c>
      <c r="D29" s="416">
        <v>0.71</v>
      </c>
      <c r="E29" s="215">
        <f t="shared" si="0"/>
        <v>21228.000000000004</v>
      </c>
      <c r="F29" s="215"/>
      <c r="G29" s="215"/>
      <c r="H29" s="215">
        <f>SUM(H30:H31)</f>
        <v>75106.2219619751</v>
      </c>
    </row>
    <row r="30" spans="1:11" ht="12.75" outlineLevel="5">
      <c r="A30" s="6" t="s">
        <v>1813</v>
      </c>
      <c r="B30" s="6" t="s">
        <v>1814</v>
      </c>
      <c r="C30" s="412">
        <v>53200</v>
      </c>
      <c r="D30" s="413">
        <v>0.8</v>
      </c>
      <c r="E30" s="225">
        <f t="shared" si="0"/>
        <v>10639.999999999998</v>
      </c>
      <c r="H30" s="225">
        <f>'CPR 080202'!K43</f>
        <v>54606.222438812256</v>
      </c>
      <c r="K30" s="225">
        <f>E30</f>
        <v>10639.999999999998</v>
      </c>
    </row>
    <row r="31" spans="1:8" s="417" customFormat="1" ht="12.75" outlineLevel="5">
      <c r="A31" s="417" t="s">
        <v>1815</v>
      </c>
      <c r="B31" s="417" t="s">
        <v>1816</v>
      </c>
      <c r="C31" s="418">
        <v>20000</v>
      </c>
      <c r="D31" s="419">
        <v>0.6</v>
      </c>
      <c r="E31" s="420">
        <f t="shared" si="0"/>
        <v>8000</v>
      </c>
      <c r="F31" s="420"/>
      <c r="G31" s="420">
        <f>'CPR 080202'!J44</f>
        <v>20000</v>
      </c>
      <c r="H31" s="420">
        <f>'CPR 080202'!K44</f>
        <v>20499.99952316284</v>
      </c>
    </row>
    <row r="32" spans="1:8" s="7" customFormat="1" ht="12.75" outlineLevel="4">
      <c r="A32" s="7" t="s">
        <v>1817</v>
      </c>
      <c r="B32" s="7" t="s">
        <v>1818</v>
      </c>
      <c r="C32" s="415">
        <v>74667.2</v>
      </c>
      <c r="D32" s="416">
        <v>0.46</v>
      </c>
      <c r="E32" s="215">
        <f t="shared" si="0"/>
        <v>40320.288</v>
      </c>
      <c r="F32" s="215"/>
      <c r="G32" s="215"/>
      <c r="H32" s="215">
        <f>SUM(H33:H34)</f>
        <v>78523.76441192627</v>
      </c>
    </row>
    <row r="33" spans="1:11" ht="12.75" outlineLevel="5">
      <c r="A33" s="6" t="s">
        <v>1819</v>
      </c>
      <c r="B33" s="6" t="s">
        <v>1814</v>
      </c>
      <c r="C33" s="412">
        <v>54667.2</v>
      </c>
      <c r="D33" s="413">
        <v>0</v>
      </c>
      <c r="E33" s="225">
        <f t="shared" si="0"/>
        <v>54667.2</v>
      </c>
      <c r="H33" s="225">
        <f>'CPR 080202'!K46</f>
        <v>57490.76346588135</v>
      </c>
      <c r="K33" s="225">
        <f>E33</f>
        <v>54667.2</v>
      </c>
    </row>
    <row r="34" spans="1:8" s="417" customFormat="1" ht="12.75" outlineLevel="5">
      <c r="A34" s="417" t="s">
        <v>1820</v>
      </c>
      <c r="B34" s="417" t="s">
        <v>1816</v>
      </c>
      <c r="C34" s="418">
        <v>20000</v>
      </c>
      <c r="D34" s="419">
        <v>0.85</v>
      </c>
      <c r="E34" s="420">
        <f t="shared" si="0"/>
        <v>3000.0000000000005</v>
      </c>
      <c r="F34" s="420"/>
      <c r="G34" s="420">
        <f>'CPR 080202'!J47</f>
        <v>20000</v>
      </c>
      <c r="H34" s="420">
        <f>'CPR 080202'!K47</f>
        <v>21033.000946044922</v>
      </c>
    </row>
    <row r="35" spans="1:8" s="7" customFormat="1" ht="12.75" outlineLevel="4">
      <c r="A35" s="7" t="s">
        <v>1821</v>
      </c>
      <c r="B35" s="7" t="s">
        <v>1822</v>
      </c>
      <c r="C35" s="415">
        <v>65780</v>
      </c>
      <c r="D35" s="416">
        <v>0</v>
      </c>
      <c r="E35" s="215">
        <f t="shared" si="0"/>
        <v>65780</v>
      </c>
      <c r="F35" s="215"/>
      <c r="G35" s="215"/>
      <c r="H35" s="215">
        <f>SUM(H36:H39)</f>
        <v>69177.54011154175</v>
      </c>
    </row>
    <row r="36" spans="1:10" s="417" customFormat="1" ht="12.75" outlineLevel="5">
      <c r="A36" s="417" t="s">
        <v>1823</v>
      </c>
      <c r="B36" s="417" t="s">
        <v>1824</v>
      </c>
      <c r="C36" s="418">
        <v>55000</v>
      </c>
      <c r="D36" s="419">
        <v>0</v>
      </c>
      <c r="E36" s="420">
        <f t="shared" si="0"/>
        <v>55000</v>
      </c>
      <c r="F36" s="420">
        <f>'Cost 12_11'!F65</f>
        <v>68000</v>
      </c>
      <c r="G36" s="420">
        <f>'CPR 080202'!J49</f>
        <v>55000</v>
      </c>
      <c r="H36" s="420">
        <f>'CPR 080202'!K49</f>
        <v>57840.752601623535</v>
      </c>
      <c r="I36" s="420">
        <f>F36-H36</f>
        <v>10159.247398376465</v>
      </c>
      <c r="J36" s="420">
        <f>F36-G36</f>
        <v>13000</v>
      </c>
    </row>
    <row r="37" spans="1:11" ht="12.75" outlineLevel="5">
      <c r="A37" s="6" t="s">
        <v>1825</v>
      </c>
      <c r="B37" s="6" t="s">
        <v>1826</v>
      </c>
      <c r="C37" s="412">
        <v>10780</v>
      </c>
      <c r="D37" s="413">
        <v>0</v>
      </c>
      <c r="E37" s="225">
        <f t="shared" si="0"/>
        <v>10780</v>
      </c>
      <c r="H37" s="225">
        <f>'CPR 080202'!K50</f>
        <v>11336.787509918213</v>
      </c>
      <c r="K37" s="225">
        <f>E37</f>
        <v>10780</v>
      </c>
    </row>
    <row r="38" spans="1:10" s="417" customFormat="1" ht="12.75" outlineLevel="5">
      <c r="A38" s="417" t="s">
        <v>1574</v>
      </c>
      <c r="B38" s="417" t="s">
        <v>1575</v>
      </c>
      <c r="C38" s="418">
        <v>0</v>
      </c>
      <c r="D38" s="419">
        <v>0</v>
      </c>
      <c r="E38" s="420">
        <f t="shared" si="0"/>
        <v>0</v>
      </c>
      <c r="F38" s="420">
        <f>'Cost 12_11'!F80</f>
        <v>170</v>
      </c>
      <c r="G38" s="420">
        <f>'CPR 080202'!J51</f>
        <v>0</v>
      </c>
      <c r="H38" s="420">
        <f>'CPR 080202'!K51</f>
        <v>0</v>
      </c>
      <c r="I38" s="420">
        <f>F38-H38</f>
        <v>170</v>
      </c>
      <c r="J38" s="420">
        <f>F38-G38</f>
        <v>170</v>
      </c>
    </row>
    <row r="39" spans="1:8" s="417" customFormat="1" ht="12.75" outlineLevel="5">
      <c r="A39" s="417" t="s">
        <v>1827</v>
      </c>
      <c r="B39" s="417" t="s">
        <v>1795</v>
      </c>
      <c r="C39" s="418">
        <v>0</v>
      </c>
      <c r="D39" s="419">
        <v>0</v>
      </c>
      <c r="E39" s="420">
        <f t="shared" si="0"/>
        <v>0</v>
      </c>
      <c r="F39" s="420"/>
      <c r="G39" s="420">
        <f>'CPR 080202'!J52</f>
        <v>0</v>
      </c>
      <c r="H39" s="420">
        <f>'CPR 080202'!K52</f>
        <v>0</v>
      </c>
    </row>
    <row r="40" spans="1:9" s="7" customFormat="1" ht="12.75" outlineLevel="3">
      <c r="A40" s="7" t="s">
        <v>1828</v>
      </c>
      <c r="B40" s="7" t="s">
        <v>1829</v>
      </c>
      <c r="C40" s="415">
        <v>34484</v>
      </c>
      <c r="D40" s="416">
        <v>0</v>
      </c>
      <c r="E40" s="215">
        <f t="shared" si="0"/>
        <v>34484</v>
      </c>
      <c r="F40" s="215"/>
      <c r="G40" s="215"/>
      <c r="H40" s="215">
        <f>SUM(H41:H43)</f>
        <v>37026.66947364807</v>
      </c>
      <c r="I40" s="215"/>
    </row>
    <row r="41" spans="1:10" s="417" customFormat="1" ht="12.75" outlineLevel="4">
      <c r="A41" s="417" t="s">
        <v>1830</v>
      </c>
      <c r="B41" s="417" t="s">
        <v>1831</v>
      </c>
      <c r="C41" s="418">
        <v>27500</v>
      </c>
      <c r="D41" s="419">
        <v>0</v>
      </c>
      <c r="E41" s="420">
        <f t="shared" si="0"/>
        <v>27500</v>
      </c>
      <c r="F41" s="420">
        <f>'Cost 12_11'!F87</f>
        <v>45255</v>
      </c>
      <c r="G41" s="420">
        <f>'CPR 080202'!J54</f>
        <v>27500</v>
      </c>
      <c r="H41" s="420">
        <f>'CPR 080202'!K54</f>
        <v>29527.705907821655</v>
      </c>
      <c r="I41" s="420">
        <f>F41-H41</f>
        <v>15727.294092178345</v>
      </c>
      <c r="J41" s="420">
        <f>F41-G41</f>
        <v>17755</v>
      </c>
    </row>
    <row r="42" spans="1:11" ht="12.75" outlineLevel="4">
      <c r="A42" s="6" t="s">
        <v>1833</v>
      </c>
      <c r="B42" s="6" t="s">
        <v>1834</v>
      </c>
      <c r="C42" s="412">
        <v>6984</v>
      </c>
      <c r="D42" s="413">
        <v>0</v>
      </c>
      <c r="E42" s="225">
        <f t="shared" si="0"/>
        <v>6984</v>
      </c>
      <c r="H42" s="225">
        <f>'CPR 080202'!K55</f>
        <v>7498.963565826416</v>
      </c>
      <c r="K42" s="225">
        <f>E42</f>
        <v>6984</v>
      </c>
    </row>
    <row r="43" spans="1:9" s="417" customFormat="1" ht="12.75" outlineLevel="4">
      <c r="A43" s="417" t="s">
        <v>1835</v>
      </c>
      <c r="B43" s="417" t="s">
        <v>1836</v>
      </c>
      <c r="C43" s="418">
        <v>0</v>
      </c>
      <c r="D43" s="419">
        <v>0</v>
      </c>
      <c r="E43" s="420">
        <f t="shared" si="0"/>
        <v>0</v>
      </c>
      <c r="F43" s="420"/>
      <c r="G43" s="420">
        <f>'CPR 080202'!J56</f>
        <v>0</v>
      </c>
      <c r="H43" s="420">
        <f>'CPR 080202'!K56</f>
        <v>0</v>
      </c>
      <c r="I43" s="420"/>
    </row>
    <row r="44" spans="1:8" s="7" customFormat="1" ht="12.75" outlineLevel="3">
      <c r="A44" s="7" t="s">
        <v>1837</v>
      </c>
      <c r="B44" s="7" t="s">
        <v>1838</v>
      </c>
      <c r="C44" s="415">
        <v>8400</v>
      </c>
      <c r="D44" s="416">
        <v>0</v>
      </c>
      <c r="E44" s="215">
        <f t="shared" si="0"/>
        <v>8400</v>
      </c>
      <c r="F44" s="215"/>
      <c r="G44" s="215"/>
      <c r="H44" s="215">
        <f>SUM(H45:H47)</f>
        <v>9083.795928955078</v>
      </c>
    </row>
    <row r="45" spans="1:10" s="417" customFormat="1" ht="12.75" outlineLevel="4">
      <c r="A45" s="417" t="s">
        <v>1839</v>
      </c>
      <c r="B45" s="417" t="s">
        <v>1840</v>
      </c>
      <c r="C45" s="418">
        <v>6000</v>
      </c>
      <c r="D45" s="419">
        <v>0</v>
      </c>
      <c r="E45" s="420">
        <f t="shared" si="0"/>
        <v>6000</v>
      </c>
      <c r="F45" s="420">
        <f>'Cost 12_11'!F94</f>
        <v>9000</v>
      </c>
      <c r="G45" s="420">
        <f>'CPR 080202'!J58</f>
        <v>6000</v>
      </c>
      <c r="H45" s="420">
        <f>'CPR 080202'!K58</f>
        <v>6442.408561706543</v>
      </c>
      <c r="I45" s="420">
        <f>F45-H45</f>
        <v>2557.591438293457</v>
      </c>
      <c r="J45" s="420">
        <f>F45-G45</f>
        <v>3000</v>
      </c>
    </row>
    <row r="46" spans="1:11" ht="12.75" outlineLevel="4">
      <c r="A46" s="6" t="s">
        <v>1842</v>
      </c>
      <c r="B46" s="6" t="s">
        <v>1843</v>
      </c>
      <c r="C46" s="412">
        <v>2400</v>
      </c>
      <c r="D46" s="413">
        <v>0</v>
      </c>
      <c r="E46" s="225">
        <f t="shared" si="0"/>
        <v>2400</v>
      </c>
      <c r="H46" s="225">
        <f>'CPR 080202'!K59</f>
        <v>2641.387367248535</v>
      </c>
      <c r="K46" s="225">
        <f>E46</f>
        <v>2400</v>
      </c>
    </row>
    <row r="47" spans="1:9" s="417" customFormat="1" ht="12.75" outlineLevel="4">
      <c r="A47" s="417" t="s">
        <v>1844</v>
      </c>
      <c r="B47" s="417" t="s">
        <v>0</v>
      </c>
      <c r="C47" s="418">
        <v>0</v>
      </c>
      <c r="D47" s="419">
        <v>0</v>
      </c>
      <c r="E47" s="420">
        <f t="shared" si="0"/>
        <v>0</v>
      </c>
      <c r="F47" s="420"/>
      <c r="G47" s="420">
        <f>'CPR 080202'!J60</f>
        <v>0</v>
      </c>
      <c r="H47" s="420">
        <f>'CPR 080202'!K60</f>
        <v>0</v>
      </c>
      <c r="I47" s="420"/>
    </row>
    <row r="48" spans="1:8" s="7" customFormat="1" ht="12.75" outlineLevel="3">
      <c r="A48" s="7" t="s">
        <v>1</v>
      </c>
      <c r="B48" s="7" t="s">
        <v>2</v>
      </c>
      <c r="C48" s="415">
        <v>35568</v>
      </c>
      <c r="D48" s="416">
        <v>0</v>
      </c>
      <c r="E48" s="215">
        <f>(1-D48)*C48</f>
        <v>35568</v>
      </c>
      <c r="F48" s="215"/>
      <c r="G48" s="215"/>
      <c r="H48" s="215">
        <f>SUM(H49:H50)</f>
        <v>38190.59795379639</v>
      </c>
    </row>
    <row r="49" spans="1:10" s="417" customFormat="1" ht="12.75" outlineLevel="4">
      <c r="A49" s="417" t="s">
        <v>3</v>
      </c>
      <c r="B49" s="417" t="s">
        <v>1576</v>
      </c>
      <c r="C49" s="418">
        <v>28800</v>
      </c>
      <c r="D49" s="419">
        <v>0</v>
      </c>
      <c r="E49" s="420">
        <f t="shared" si="0"/>
        <v>28800</v>
      </c>
      <c r="F49" s="420">
        <f>'Cost 12_11'!F106</f>
        <v>47520</v>
      </c>
      <c r="G49" s="420">
        <f>'CPR 080202'!J62</f>
        <v>28800</v>
      </c>
      <c r="H49" s="420">
        <f>'CPR 080202'!K62</f>
        <v>30923.561096191406</v>
      </c>
      <c r="I49" s="420">
        <f>F49-H49</f>
        <v>16596.438903808594</v>
      </c>
      <c r="J49" s="420">
        <f>F49-G49</f>
        <v>18720</v>
      </c>
    </row>
    <row r="50" spans="1:11" ht="12.75" outlineLevel="4">
      <c r="A50" s="6" t="s">
        <v>5</v>
      </c>
      <c r="B50" s="6" t="s">
        <v>6</v>
      </c>
      <c r="C50" s="412">
        <v>6768</v>
      </c>
      <c r="D50" s="413">
        <v>0</v>
      </c>
      <c r="E50" s="225">
        <f t="shared" si="0"/>
        <v>6768</v>
      </c>
      <c r="H50" s="225">
        <f>'CPR 080202'!K63</f>
        <v>7267.0368576049805</v>
      </c>
      <c r="K50" s="225">
        <f>E50</f>
        <v>6768</v>
      </c>
    </row>
    <row r="51" spans="1:8" s="7" customFormat="1" ht="12.75" outlineLevel="3">
      <c r="A51" s="7" t="s">
        <v>23</v>
      </c>
      <c r="B51" s="7" t="s">
        <v>1577</v>
      </c>
      <c r="C51" s="415">
        <v>187785</v>
      </c>
      <c r="D51" s="416">
        <v>0.46</v>
      </c>
      <c r="E51" s="215">
        <f t="shared" si="0"/>
        <v>101403.90000000001</v>
      </c>
      <c r="F51" s="215"/>
      <c r="G51" s="215"/>
      <c r="H51" s="215">
        <f>H52+H53+H56+H59+H62</f>
        <v>194183.94000947475</v>
      </c>
    </row>
    <row r="52" spans="1:11" ht="12.75" outlineLevel="4">
      <c r="A52" s="6" t="s">
        <v>27</v>
      </c>
      <c r="B52" s="6" t="s">
        <v>1578</v>
      </c>
      <c r="C52" s="412">
        <v>4368</v>
      </c>
      <c r="D52" s="413">
        <v>1</v>
      </c>
      <c r="E52" s="225">
        <f t="shared" si="0"/>
        <v>0</v>
      </c>
      <c r="H52" s="225">
        <f>'CPR 080202'!K76</f>
        <v>4522.19047164917</v>
      </c>
      <c r="K52" s="225">
        <f>E52</f>
        <v>0</v>
      </c>
    </row>
    <row r="53" spans="1:8" s="7" customFormat="1" ht="12.75" outlineLevel="4">
      <c r="A53" s="7" t="s">
        <v>29</v>
      </c>
      <c r="B53" s="7" t="s">
        <v>1579</v>
      </c>
      <c r="C53" s="415">
        <v>46240</v>
      </c>
      <c r="D53" s="416">
        <v>1</v>
      </c>
      <c r="E53" s="215">
        <f t="shared" si="0"/>
        <v>0</v>
      </c>
      <c r="F53" s="215"/>
      <c r="G53" s="215"/>
      <c r="H53" s="215">
        <f>SUM(H54:H55)</f>
        <v>46240</v>
      </c>
    </row>
    <row r="54" spans="1:11" ht="12.75" outlineLevel="5">
      <c r="A54" s="6" t="s">
        <v>31</v>
      </c>
      <c r="B54" s="6" t="s">
        <v>1580</v>
      </c>
      <c r="C54" s="412">
        <v>21140</v>
      </c>
      <c r="D54" s="413">
        <v>1</v>
      </c>
      <c r="E54" s="225">
        <f t="shared" si="0"/>
        <v>0</v>
      </c>
      <c r="H54" s="225">
        <f>'CPR 080202'!K78</f>
        <v>21140</v>
      </c>
      <c r="K54" s="225">
        <f>E54</f>
        <v>0</v>
      </c>
    </row>
    <row r="55" spans="1:8" s="417" customFormat="1" ht="12.75" outlineLevel="5">
      <c r="A55" s="417" t="s">
        <v>33</v>
      </c>
      <c r="B55" s="417" t="s">
        <v>1581</v>
      </c>
      <c r="C55" s="418">
        <v>25100</v>
      </c>
      <c r="D55" s="419">
        <v>1</v>
      </c>
      <c r="E55" s="420">
        <f t="shared" si="0"/>
        <v>0</v>
      </c>
      <c r="F55" s="420"/>
      <c r="G55" s="420">
        <f>'CPR 080202'!J79</f>
        <v>25100</v>
      </c>
      <c r="H55" s="420">
        <f>'CPR 080202'!K79</f>
        <v>25100</v>
      </c>
    </row>
    <row r="56" spans="1:8" s="7" customFormat="1" ht="12.75" outlineLevel="4">
      <c r="A56" s="7" t="s">
        <v>38</v>
      </c>
      <c r="B56" s="7" t="s">
        <v>1582</v>
      </c>
      <c r="C56" s="415">
        <v>60249</v>
      </c>
      <c r="D56" s="416">
        <v>1</v>
      </c>
      <c r="E56" s="215">
        <f t="shared" si="0"/>
        <v>0</v>
      </c>
      <c r="F56" s="215"/>
      <c r="G56" s="215"/>
      <c r="H56" s="215">
        <f>SUM(H57:H58)</f>
        <v>61755.2235635519</v>
      </c>
    </row>
    <row r="57" spans="1:11" ht="12.75" outlineLevel="5">
      <c r="A57" s="6" t="s">
        <v>40</v>
      </c>
      <c r="B57" s="6" t="s">
        <v>1583</v>
      </c>
      <c r="C57" s="412">
        <v>30249</v>
      </c>
      <c r="D57" s="413">
        <v>1</v>
      </c>
      <c r="E57" s="225">
        <f t="shared" si="0"/>
        <v>0</v>
      </c>
      <c r="H57" s="225">
        <f>'CPR 080202'!K81</f>
        <v>31005.22427880764</v>
      </c>
      <c r="K57" s="225">
        <f>E57</f>
        <v>0</v>
      </c>
    </row>
    <row r="58" spans="1:8" s="417" customFormat="1" ht="12.75" outlineLevel="5">
      <c r="A58" s="417" t="s">
        <v>42</v>
      </c>
      <c r="B58" s="417" t="s">
        <v>1584</v>
      </c>
      <c r="C58" s="418">
        <v>30000</v>
      </c>
      <c r="D58" s="419">
        <v>1</v>
      </c>
      <c r="E58" s="420">
        <f t="shared" si="0"/>
        <v>0</v>
      </c>
      <c r="F58" s="420"/>
      <c r="G58" s="420">
        <f>'CPR 080202'!J82</f>
        <v>30000</v>
      </c>
      <c r="H58" s="420">
        <f>'CPR 080202'!K82</f>
        <v>30749.999284744263</v>
      </c>
    </row>
    <row r="59" spans="1:8" s="7" customFormat="1" ht="12.75" outlineLevel="4">
      <c r="A59" s="7" t="s">
        <v>44</v>
      </c>
      <c r="B59" s="7" t="s">
        <v>1585</v>
      </c>
      <c r="C59" s="415">
        <v>42280</v>
      </c>
      <c r="D59" s="416">
        <v>0.95</v>
      </c>
      <c r="E59" s="215">
        <f t="shared" si="0"/>
        <v>2114.000000000002</v>
      </c>
      <c r="F59" s="215"/>
      <c r="G59" s="215"/>
      <c r="H59" s="215">
        <f>SUM(H60:H61)</f>
        <v>44463.763999938965</v>
      </c>
    </row>
    <row r="60" spans="1:11" ht="12.75" outlineLevel="5">
      <c r="A60" s="6" t="s">
        <v>46</v>
      </c>
      <c r="B60" s="6" t="s">
        <v>1583</v>
      </c>
      <c r="C60" s="412">
        <v>21280</v>
      </c>
      <c r="D60" s="413">
        <v>0.95</v>
      </c>
      <c r="E60" s="225">
        <f t="shared" si="0"/>
        <v>1064.000000000001</v>
      </c>
      <c r="H60" s="225">
        <f>'CPR 080202'!K84</f>
        <v>22379.113006591797</v>
      </c>
      <c r="K60" s="225">
        <f>E60</f>
        <v>1064.000000000001</v>
      </c>
    </row>
    <row r="61" spans="1:8" s="417" customFormat="1" ht="12.75" outlineLevel="5">
      <c r="A61" s="417" t="s">
        <v>47</v>
      </c>
      <c r="B61" s="417" t="s">
        <v>1584</v>
      </c>
      <c r="C61" s="418">
        <v>21000</v>
      </c>
      <c r="D61" s="419">
        <v>0.95</v>
      </c>
      <c r="E61" s="420">
        <f t="shared" si="0"/>
        <v>1050.000000000001</v>
      </c>
      <c r="F61" s="420"/>
      <c r="G61" s="420">
        <f>'CPR 080202'!J85</f>
        <v>21000</v>
      </c>
      <c r="H61" s="420">
        <f>'CPR 080202'!K85</f>
        <v>22084.650993347168</v>
      </c>
    </row>
    <row r="62" spans="1:8" s="7" customFormat="1" ht="12.75" outlineLevel="4">
      <c r="A62" s="7" t="s">
        <v>48</v>
      </c>
      <c r="B62" s="7" t="s">
        <v>1586</v>
      </c>
      <c r="C62" s="415">
        <v>34648</v>
      </c>
      <c r="D62" s="416">
        <v>0</v>
      </c>
      <c r="E62" s="215">
        <f t="shared" si="0"/>
        <v>34648</v>
      </c>
      <c r="F62" s="215"/>
      <c r="G62" s="215"/>
      <c r="H62" s="215">
        <f>SUM(H63:H66)</f>
        <v>37202.76197433472</v>
      </c>
    </row>
    <row r="63" spans="1:10" s="417" customFormat="1" ht="12.75" outlineLevel="5">
      <c r="A63" s="417" t="s">
        <v>50</v>
      </c>
      <c r="B63" s="417" t="s">
        <v>1587</v>
      </c>
      <c r="C63" s="418">
        <v>9000</v>
      </c>
      <c r="D63" s="419">
        <v>0</v>
      </c>
      <c r="E63" s="420">
        <f t="shared" si="0"/>
        <v>9000</v>
      </c>
      <c r="F63" s="420">
        <f>'Cost 12_11'!F72</f>
        <v>16500</v>
      </c>
      <c r="G63" s="420">
        <f>'CPR 080202'!J87</f>
        <v>9000</v>
      </c>
      <c r="H63" s="420">
        <f>'CPR 080202'!K87</f>
        <v>9663.612842559814</v>
      </c>
      <c r="I63" s="420">
        <f>F63-H63</f>
        <v>6836.387157440186</v>
      </c>
      <c r="J63" s="420">
        <f>F63-G63</f>
        <v>7500</v>
      </c>
    </row>
    <row r="64" spans="1:11" ht="12.75" outlineLevel="5">
      <c r="A64" s="6" t="s">
        <v>51</v>
      </c>
      <c r="B64" s="6" t="s">
        <v>1588</v>
      </c>
      <c r="C64" s="412">
        <v>25648</v>
      </c>
      <c r="D64" s="413">
        <v>0</v>
      </c>
      <c r="E64" s="225">
        <f t="shared" si="0"/>
        <v>25648</v>
      </c>
      <c r="H64" s="225">
        <f>'CPR 080202'!K88</f>
        <v>27539.149131774902</v>
      </c>
      <c r="K64" s="225">
        <f>E64</f>
        <v>25648</v>
      </c>
    </row>
    <row r="65" spans="1:10" s="417" customFormat="1" ht="12.75" outlineLevel="5">
      <c r="A65" s="417" t="s">
        <v>53</v>
      </c>
      <c r="B65" s="417" t="s">
        <v>1589</v>
      </c>
      <c r="C65" s="418">
        <v>0</v>
      </c>
      <c r="D65" s="419">
        <v>0</v>
      </c>
      <c r="E65" s="420">
        <f aca="true" t="shared" si="1" ref="E65:E119">(1-D65)*C65</f>
        <v>0</v>
      </c>
      <c r="F65" s="420">
        <f>'Cost 12_11'!F113</f>
        <v>110</v>
      </c>
      <c r="G65" s="420">
        <f>'CPR 080202'!J89</f>
        <v>0</v>
      </c>
      <c r="H65" s="420">
        <f>'CPR 080202'!K89</f>
        <v>0</v>
      </c>
      <c r="I65" s="420">
        <f>F65-H65</f>
        <v>110</v>
      </c>
      <c r="J65" s="420">
        <f>F65-G65</f>
        <v>110</v>
      </c>
    </row>
    <row r="66" spans="1:8" s="417" customFormat="1" ht="12.75" outlineLevel="5">
      <c r="A66" s="417" t="s">
        <v>55</v>
      </c>
      <c r="B66" s="417" t="s">
        <v>1795</v>
      </c>
      <c r="C66" s="418">
        <v>0</v>
      </c>
      <c r="D66" s="419">
        <v>0</v>
      </c>
      <c r="E66" s="420">
        <f t="shared" si="1"/>
        <v>0</v>
      </c>
      <c r="F66" s="420"/>
      <c r="G66" s="420">
        <f>'CPR 080202'!J90</f>
        <v>0</v>
      </c>
      <c r="H66" s="420">
        <f>'CPR 080202'!K90</f>
        <v>0</v>
      </c>
    </row>
    <row r="67" spans="1:8" s="7" customFormat="1" ht="12.75" outlineLevel="3">
      <c r="A67" s="7" t="s">
        <v>56</v>
      </c>
      <c r="B67" s="7" t="s">
        <v>57</v>
      </c>
      <c r="C67" s="415">
        <v>215094.32</v>
      </c>
      <c r="D67" s="416">
        <v>0.97</v>
      </c>
      <c r="E67" s="215">
        <f t="shared" si="1"/>
        <v>6452.829600000006</v>
      </c>
      <c r="F67" s="215"/>
      <c r="G67" s="215"/>
      <c r="H67" s="215">
        <f>H68+H74+H79+H82</f>
        <v>215450.2498222065</v>
      </c>
    </row>
    <row r="68" spans="1:8" s="7" customFormat="1" ht="12.75" outlineLevel="4">
      <c r="A68" s="7" t="s">
        <v>58</v>
      </c>
      <c r="B68" s="7" t="s">
        <v>59</v>
      </c>
      <c r="C68" s="415">
        <v>79264.12</v>
      </c>
      <c r="D68" s="416">
        <v>1</v>
      </c>
      <c r="E68" s="215">
        <f t="shared" si="1"/>
        <v>0</v>
      </c>
      <c r="F68" s="215"/>
      <c r="G68" s="215"/>
      <c r="H68" s="215">
        <f>SUM(H69:H73)</f>
        <v>79559.36971842765</v>
      </c>
    </row>
    <row r="69" spans="1:11" ht="12.75" outlineLevel="5">
      <c r="A69" s="6" t="s">
        <v>60</v>
      </c>
      <c r="B69" s="6" t="s">
        <v>61</v>
      </c>
      <c r="C69" s="412">
        <v>63072.12</v>
      </c>
      <c r="D69" s="413">
        <v>1</v>
      </c>
      <c r="E69" s="225">
        <f t="shared" si="1"/>
        <v>0</v>
      </c>
      <c r="H69" s="346">
        <f>'CPR 080202'!K93</f>
        <v>63072.12</v>
      </c>
      <c r="K69" s="225">
        <f>E69</f>
        <v>0</v>
      </c>
    </row>
    <row r="70" spans="1:8" s="417" customFormat="1" ht="12.75" outlineLevel="5">
      <c r="A70" s="417" t="s">
        <v>62</v>
      </c>
      <c r="B70" s="417" t="s">
        <v>63</v>
      </c>
      <c r="C70" s="418">
        <v>4382</v>
      </c>
      <c r="D70" s="419">
        <v>1</v>
      </c>
      <c r="E70" s="420">
        <f t="shared" si="1"/>
        <v>0</v>
      </c>
      <c r="F70" s="420"/>
      <c r="G70" s="421">
        <f>'CPR 080202'!J94</f>
        <v>4382</v>
      </c>
      <c r="H70" s="421">
        <f>'CPR 080202'!K94</f>
        <v>4382</v>
      </c>
    </row>
    <row r="71" spans="1:11" ht="12.75" outlineLevel="5">
      <c r="A71" s="6" t="s">
        <v>1590</v>
      </c>
      <c r="B71" s="6" t="s">
        <v>1591</v>
      </c>
      <c r="C71" s="412">
        <v>0</v>
      </c>
      <c r="D71" s="413">
        <v>1</v>
      </c>
      <c r="E71" s="225">
        <f t="shared" si="1"/>
        <v>0</v>
      </c>
      <c r="H71" s="346">
        <f>'CPR 080202'!K95</f>
        <v>0</v>
      </c>
      <c r="K71" s="225">
        <f>E71</f>
        <v>0</v>
      </c>
    </row>
    <row r="72" spans="1:11" ht="12.75" outlineLevel="5">
      <c r="A72" s="6" t="s">
        <v>1592</v>
      </c>
      <c r="B72" s="6" t="s">
        <v>1593</v>
      </c>
      <c r="C72" s="412">
        <v>0</v>
      </c>
      <c r="D72" s="413">
        <v>1</v>
      </c>
      <c r="E72" s="225">
        <f t="shared" si="1"/>
        <v>0</v>
      </c>
      <c r="H72" s="346">
        <f>'CPR 080202'!K96</f>
        <v>0</v>
      </c>
      <c r="K72" s="225">
        <f>E72</f>
        <v>0</v>
      </c>
    </row>
    <row r="73" spans="1:11" ht="12.75" outlineLevel="5">
      <c r="A73" s="6" t="s">
        <v>64</v>
      </c>
      <c r="B73" s="6" t="s">
        <v>65</v>
      </c>
      <c r="C73" s="412">
        <v>11810</v>
      </c>
      <c r="D73" s="413">
        <v>1</v>
      </c>
      <c r="E73" s="225">
        <f t="shared" si="1"/>
        <v>0</v>
      </c>
      <c r="H73" s="346">
        <f>'CPR 080202'!K97</f>
        <v>12105.249718427658</v>
      </c>
      <c r="K73" s="225">
        <f>E73</f>
        <v>0</v>
      </c>
    </row>
    <row r="74" spans="1:8" s="7" customFormat="1" ht="12.75" outlineLevel="4">
      <c r="A74" s="7" t="s">
        <v>66</v>
      </c>
      <c r="B74" s="7" t="s">
        <v>67</v>
      </c>
      <c r="C74" s="415">
        <v>64359</v>
      </c>
      <c r="D74" s="416">
        <v>1</v>
      </c>
      <c r="E74" s="215">
        <f t="shared" si="1"/>
        <v>0</v>
      </c>
      <c r="F74" s="215"/>
      <c r="G74" s="215"/>
      <c r="H74" s="215">
        <f>SUM(H75:H78)</f>
        <v>64359</v>
      </c>
    </row>
    <row r="75" spans="1:11" ht="12.75" outlineLevel="5">
      <c r="A75" s="6" t="s">
        <v>68</v>
      </c>
      <c r="B75" s="6" t="s">
        <v>69</v>
      </c>
      <c r="C75" s="412">
        <v>50184</v>
      </c>
      <c r="D75" s="413">
        <v>1</v>
      </c>
      <c r="E75" s="225">
        <f t="shared" si="1"/>
        <v>0</v>
      </c>
      <c r="H75" s="346">
        <f>'CPR 080202'!K99</f>
        <v>50184</v>
      </c>
      <c r="K75" s="225">
        <f>E75</f>
        <v>0</v>
      </c>
    </row>
    <row r="76" spans="1:8" s="417" customFormat="1" ht="12.75" outlineLevel="5">
      <c r="A76" s="417" t="s">
        <v>70</v>
      </c>
      <c r="B76" s="417" t="s">
        <v>71</v>
      </c>
      <c r="C76" s="418">
        <v>14175</v>
      </c>
      <c r="D76" s="419">
        <v>1</v>
      </c>
      <c r="E76" s="420">
        <f t="shared" si="1"/>
        <v>0</v>
      </c>
      <c r="F76" s="420"/>
      <c r="G76" s="421">
        <f>'CPR 080202'!J100</f>
        <v>14175</v>
      </c>
      <c r="H76" s="421">
        <f>'CPR 080202'!K100</f>
        <v>14175</v>
      </c>
    </row>
    <row r="77" spans="1:11" ht="12.75" outlineLevel="5">
      <c r="A77" s="6" t="s">
        <v>1594</v>
      </c>
      <c r="B77" s="6" t="s">
        <v>1595</v>
      </c>
      <c r="C77" s="412">
        <v>0</v>
      </c>
      <c r="D77" s="413">
        <v>1</v>
      </c>
      <c r="E77" s="225">
        <f t="shared" si="1"/>
        <v>0</v>
      </c>
      <c r="H77" s="346">
        <f>'CPR 080202'!K101</f>
        <v>0</v>
      </c>
      <c r="K77" s="225">
        <f>E77</f>
        <v>0</v>
      </c>
    </row>
    <row r="78" spans="1:11" ht="12.75" outlineLevel="5">
      <c r="A78" s="6" t="s">
        <v>1596</v>
      </c>
      <c r="B78" s="6" t="s">
        <v>73</v>
      </c>
      <c r="C78" s="412">
        <v>0</v>
      </c>
      <c r="D78" s="413">
        <v>1</v>
      </c>
      <c r="E78" s="225">
        <f t="shared" si="1"/>
        <v>0</v>
      </c>
      <c r="H78" s="346">
        <f>'CPR 080202'!K102</f>
        <v>0</v>
      </c>
      <c r="K78" s="225">
        <f>E78</f>
        <v>0</v>
      </c>
    </row>
    <row r="79" spans="1:8" s="7" customFormat="1" ht="12.75" outlineLevel="4">
      <c r="A79" s="7" t="s">
        <v>74</v>
      </c>
      <c r="B79" s="7" t="s">
        <v>75</v>
      </c>
      <c r="C79" s="415">
        <v>47831.2</v>
      </c>
      <c r="D79" s="416">
        <v>0.85</v>
      </c>
      <c r="E79" s="215">
        <f t="shared" si="1"/>
        <v>7174.68</v>
      </c>
      <c r="F79" s="215"/>
      <c r="G79" s="215"/>
      <c r="H79" s="215">
        <f>SUM(H80:H81)</f>
        <v>47891.880103778836</v>
      </c>
    </row>
    <row r="80" spans="1:8" s="417" customFormat="1" ht="12.75" outlineLevel="5">
      <c r="A80" s="417" t="s">
        <v>76</v>
      </c>
      <c r="B80" s="417" t="s">
        <v>75</v>
      </c>
      <c r="C80" s="418">
        <v>25000</v>
      </c>
      <c r="D80" s="419">
        <v>0.9</v>
      </c>
      <c r="E80" s="420">
        <f t="shared" si="1"/>
        <v>2499.9999999999995</v>
      </c>
      <c r="F80" s="420"/>
      <c r="G80" s="420">
        <f>'CPR 080202'!J104</f>
        <v>25000</v>
      </c>
      <c r="H80" s="420">
        <f>'CPR 080202'!K104</f>
        <v>25000</v>
      </c>
    </row>
    <row r="81" spans="1:11" ht="12.75" outlineLevel="5">
      <c r="A81" s="6" t="s">
        <v>77</v>
      </c>
      <c r="B81" s="6" t="s">
        <v>78</v>
      </c>
      <c r="C81" s="412">
        <v>22831.2</v>
      </c>
      <c r="D81" s="413">
        <v>0.8</v>
      </c>
      <c r="E81" s="225">
        <f t="shared" si="1"/>
        <v>4566.239999999999</v>
      </c>
      <c r="H81" s="225">
        <f>'CPR 080202'!K105</f>
        <v>22891.88010377884</v>
      </c>
      <c r="K81" s="225">
        <f>E81</f>
        <v>4566.239999999999</v>
      </c>
    </row>
    <row r="82" spans="1:8" s="7" customFormat="1" ht="12.75" outlineLevel="4">
      <c r="A82" s="7" t="s">
        <v>79</v>
      </c>
      <c r="B82" s="7" t="s">
        <v>1597</v>
      </c>
      <c r="C82" s="415">
        <v>23640</v>
      </c>
      <c r="D82" s="416">
        <v>1</v>
      </c>
      <c r="E82" s="215">
        <f t="shared" si="1"/>
        <v>0</v>
      </c>
      <c r="F82" s="215"/>
      <c r="G82" s="215"/>
      <c r="H82" s="215">
        <f>SUM(H83:H86)</f>
        <v>23640</v>
      </c>
    </row>
    <row r="83" spans="1:11" ht="12.75" outlineLevel="5">
      <c r="A83" s="6" t="s">
        <v>81</v>
      </c>
      <c r="B83" s="6" t="s">
        <v>1598</v>
      </c>
      <c r="C83" s="412">
        <v>21140</v>
      </c>
      <c r="D83" s="413">
        <v>1</v>
      </c>
      <c r="E83" s="225">
        <f t="shared" si="1"/>
        <v>0</v>
      </c>
      <c r="H83" s="225">
        <f>'CPR 080202'!K107</f>
        <v>21140</v>
      </c>
      <c r="K83" s="225">
        <f>E83</f>
        <v>0</v>
      </c>
    </row>
    <row r="84" spans="1:8" s="417" customFormat="1" ht="12.75" outlineLevel="5">
      <c r="A84" s="417" t="s">
        <v>83</v>
      </c>
      <c r="B84" s="417" t="s">
        <v>1599</v>
      </c>
      <c r="C84" s="418">
        <v>2500</v>
      </c>
      <c r="D84" s="419">
        <v>1</v>
      </c>
      <c r="E84" s="420">
        <f t="shared" si="1"/>
        <v>0</v>
      </c>
      <c r="F84" s="420"/>
      <c r="G84" s="420">
        <f>'CPR 080202'!J108</f>
        <v>2500</v>
      </c>
      <c r="H84" s="420">
        <f>'CPR 080202'!K108</f>
        <v>2500</v>
      </c>
    </row>
    <row r="85" spans="1:11" ht="12.75" outlineLevel="5">
      <c r="A85" s="6" t="s">
        <v>85</v>
      </c>
      <c r="B85" s="6" t="s">
        <v>1597</v>
      </c>
      <c r="C85" s="412">
        <v>0</v>
      </c>
      <c r="D85" s="413">
        <v>0</v>
      </c>
      <c r="E85" s="225">
        <f t="shared" si="1"/>
        <v>0</v>
      </c>
      <c r="H85" s="225">
        <f>'CPR 080202'!K109</f>
        <v>0</v>
      </c>
      <c r="K85" s="225">
        <f>E85</f>
        <v>0</v>
      </c>
    </row>
    <row r="86" spans="1:11" ht="12.75" outlineLevel="5">
      <c r="A86" s="6" t="s">
        <v>86</v>
      </c>
      <c r="B86" s="6" t="s">
        <v>73</v>
      </c>
      <c r="C86" s="412">
        <v>0</v>
      </c>
      <c r="D86" s="413">
        <v>0</v>
      </c>
      <c r="E86" s="225">
        <f t="shared" si="1"/>
        <v>0</v>
      </c>
      <c r="K86" s="225">
        <f>E86</f>
        <v>0</v>
      </c>
    </row>
    <row r="87" spans="1:8" s="7" customFormat="1" ht="12.75" outlineLevel="3">
      <c r="A87" s="7" t="s">
        <v>87</v>
      </c>
      <c r="B87" s="7" t="s">
        <v>88</v>
      </c>
      <c r="C87" s="415">
        <v>140688</v>
      </c>
      <c r="D87" s="416">
        <v>0.39</v>
      </c>
      <c r="E87" s="215">
        <f t="shared" si="1"/>
        <v>85819.68</v>
      </c>
      <c r="F87" s="215"/>
      <c r="G87" s="215"/>
      <c r="H87" s="215">
        <f>SUM(H88:H96)</f>
        <v>146844.85872745514</v>
      </c>
    </row>
    <row r="88" spans="1:11" ht="12.75" outlineLevel="4">
      <c r="A88" s="6" t="s">
        <v>89</v>
      </c>
      <c r="B88" s="6" t="s">
        <v>90</v>
      </c>
      <c r="C88" s="412">
        <v>24000</v>
      </c>
      <c r="D88" s="413">
        <v>1</v>
      </c>
      <c r="E88" s="225">
        <f t="shared" si="1"/>
        <v>0</v>
      </c>
      <c r="H88" s="225">
        <f>'CPR 080202'!K112</f>
        <v>24599.99942779541</v>
      </c>
      <c r="K88" s="225">
        <f aca="true" t="shared" si="2" ref="K88:K96">E88</f>
        <v>0</v>
      </c>
    </row>
    <row r="89" spans="1:11" ht="12.75" outlineLevel="4">
      <c r="A89" s="6" t="s">
        <v>91</v>
      </c>
      <c r="B89" s="6" t="s">
        <v>92</v>
      </c>
      <c r="C89" s="412">
        <v>21140</v>
      </c>
      <c r="D89" s="413">
        <v>1</v>
      </c>
      <c r="E89" s="225">
        <f t="shared" si="1"/>
        <v>0</v>
      </c>
      <c r="H89" s="225">
        <f>'CPR 080202'!K113</f>
        <v>22325.183084011078</v>
      </c>
      <c r="K89" s="225">
        <f t="shared" si="2"/>
        <v>0</v>
      </c>
    </row>
    <row r="90" spans="1:11" ht="12.75" outlineLevel="4">
      <c r="A90" s="6" t="s">
        <v>93</v>
      </c>
      <c r="B90" s="6" t="s">
        <v>94</v>
      </c>
      <c r="C90" s="412">
        <v>21140</v>
      </c>
      <c r="D90" s="413">
        <v>1</v>
      </c>
      <c r="E90" s="225">
        <f t="shared" si="1"/>
        <v>0</v>
      </c>
      <c r="H90" s="225">
        <f>'CPR 080202'!K114</f>
        <v>21668.499495983124</v>
      </c>
      <c r="K90" s="225">
        <f t="shared" si="2"/>
        <v>0</v>
      </c>
    </row>
    <row r="91" spans="1:11" ht="12.75" outlineLevel="4">
      <c r="A91" s="6" t="s">
        <v>95</v>
      </c>
      <c r="B91" s="6" t="s">
        <v>96</v>
      </c>
      <c r="C91" s="412">
        <v>40584</v>
      </c>
      <c r="D91" s="413">
        <v>0.12</v>
      </c>
      <c r="E91" s="225">
        <f t="shared" si="1"/>
        <v>35713.92</v>
      </c>
      <c r="H91" s="225">
        <f>'CPR 080202'!K115</f>
        <v>42680.165519714355</v>
      </c>
      <c r="K91" s="225">
        <f t="shared" si="2"/>
        <v>35713.92</v>
      </c>
    </row>
    <row r="92" spans="1:11" ht="12.75" outlineLevel="4">
      <c r="A92" s="6" t="s">
        <v>97</v>
      </c>
      <c r="B92" s="6" t="s">
        <v>98</v>
      </c>
      <c r="C92" s="412">
        <v>16912</v>
      </c>
      <c r="D92" s="413">
        <v>0.8</v>
      </c>
      <c r="E92" s="225">
        <f t="shared" si="1"/>
        <v>3382.399999999999</v>
      </c>
      <c r="H92" s="225">
        <f>'CPR 080202'!K116</f>
        <v>17785.505599975586</v>
      </c>
      <c r="K92" s="225">
        <f t="shared" si="2"/>
        <v>3382.399999999999</v>
      </c>
    </row>
    <row r="93" spans="1:11" ht="12.75" outlineLevel="4">
      <c r="A93" s="6" t="s">
        <v>99</v>
      </c>
      <c r="B93" s="6" t="s">
        <v>100</v>
      </c>
      <c r="C93" s="412">
        <v>16912</v>
      </c>
      <c r="D93" s="413">
        <v>1</v>
      </c>
      <c r="E93" s="225">
        <f t="shared" si="1"/>
        <v>0</v>
      </c>
      <c r="H93" s="225">
        <f>'CPR 080202'!K117</f>
        <v>17785.505599975586</v>
      </c>
      <c r="K93" s="225">
        <f t="shared" si="2"/>
        <v>0</v>
      </c>
    </row>
    <row r="94" spans="1:11" ht="12.75" outlineLevel="4">
      <c r="A94" s="6" t="s">
        <v>101</v>
      </c>
      <c r="B94" s="6" t="s">
        <v>102</v>
      </c>
      <c r="C94" s="412">
        <v>0</v>
      </c>
      <c r="D94" s="413">
        <v>0</v>
      </c>
      <c r="E94" s="225">
        <f t="shared" si="1"/>
        <v>0</v>
      </c>
      <c r="H94" s="225">
        <f>'CPR 080202'!K118</f>
        <v>0</v>
      </c>
      <c r="K94" s="225">
        <f t="shared" si="2"/>
        <v>0</v>
      </c>
    </row>
    <row r="95" spans="1:11" ht="12.75" outlineLevel="4">
      <c r="A95" s="6" t="s">
        <v>103</v>
      </c>
      <c r="B95" s="6" t="s">
        <v>104</v>
      </c>
      <c r="C95" s="412">
        <v>0</v>
      </c>
      <c r="D95" s="413">
        <v>0</v>
      </c>
      <c r="E95" s="225">
        <f t="shared" si="1"/>
        <v>0</v>
      </c>
      <c r="H95" s="225">
        <f>'CPR 080202'!K119</f>
        <v>0</v>
      </c>
      <c r="K95" s="225">
        <f t="shared" si="2"/>
        <v>0</v>
      </c>
    </row>
    <row r="96" spans="1:11" ht="12.75" outlineLevel="4">
      <c r="A96" s="6" t="s">
        <v>106</v>
      </c>
      <c r="B96" s="6" t="s">
        <v>107</v>
      </c>
      <c r="C96" s="412">
        <v>0</v>
      </c>
      <c r="D96" s="413">
        <v>0</v>
      </c>
      <c r="E96" s="225">
        <f t="shared" si="1"/>
        <v>0</v>
      </c>
      <c r="H96" s="225">
        <f>'CPR 080202'!K120</f>
        <v>0</v>
      </c>
      <c r="K96" s="225">
        <f t="shared" si="2"/>
        <v>0</v>
      </c>
    </row>
    <row r="97" spans="1:8" s="7" customFormat="1" ht="12.75" outlineLevel="3">
      <c r="A97" s="7" t="s">
        <v>122</v>
      </c>
      <c r="B97" s="7" t="s">
        <v>123</v>
      </c>
      <c r="C97" s="415">
        <v>403200</v>
      </c>
      <c r="D97" s="416">
        <v>0.43</v>
      </c>
      <c r="E97" s="215">
        <f t="shared" si="1"/>
        <v>229824.00000000003</v>
      </c>
      <c r="F97" s="215"/>
      <c r="G97" s="215"/>
      <c r="H97" s="215">
        <f>SUM(H98:H99)</f>
        <v>419006.13384246826</v>
      </c>
    </row>
    <row r="98" spans="1:11" ht="12.75" outlineLevel="4">
      <c r="A98" s="6" t="s">
        <v>124</v>
      </c>
      <c r="B98" s="6" t="s">
        <v>125</v>
      </c>
      <c r="C98" s="412">
        <v>283200</v>
      </c>
      <c r="D98" s="413">
        <v>0.36</v>
      </c>
      <c r="E98" s="225">
        <f t="shared" si="1"/>
        <v>181248</v>
      </c>
      <c r="H98" s="225">
        <f>'CPR 080202'!K122</f>
        <v>291501.3988494873</v>
      </c>
      <c r="K98" s="225">
        <f>E98</f>
        <v>181248</v>
      </c>
    </row>
    <row r="99" spans="1:11" ht="12.75" outlineLevel="4">
      <c r="A99" s="6" t="s">
        <v>1600</v>
      </c>
      <c r="B99" s="6" t="s">
        <v>1603</v>
      </c>
      <c r="C99" s="412">
        <v>120000</v>
      </c>
      <c r="D99" s="413">
        <v>0</v>
      </c>
      <c r="E99" s="225">
        <f t="shared" si="1"/>
        <v>120000</v>
      </c>
      <c r="H99" s="225">
        <f>'CPR 080202'!K130</f>
        <v>127504.73499298096</v>
      </c>
      <c r="K99" s="225">
        <f>E99</f>
        <v>120000</v>
      </c>
    </row>
    <row r="100" spans="1:8" s="7" customFormat="1" ht="12.75" outlineLevel="3">
      <c r="A100" s="7" t="s">
        <v>1032</v>
      </c>
      <c r="B100" s="7" t="s">
        <v>1604</v>
      </c>
      <c r="C100" s="415">
        <v>160440</v>
      </c>
      <c r="D100" s="416">
        <v>0</v>
      </c>
      <c r="E100" s="215">
        <f t="shared" si="1"/>
        <v>160440</v>
      </c>
      <c r="F100" s="215"/>
      <c r="G100" s="215"/>
      <c r="H100" s="215">
        <f>SUM(H101:H103)</f>
        <v>156232.4511909485</v>
      </c>
    </row>
    <row r="101" spans="1:10" s="417" customFormat="1" ht="12.75" outlineLevel="4">
      <c r="A101" s="417" t="s">
        <v>1033</v>
      </c>
      <c r="B101" s="417" t="s">
        <v>1605</v>
      </c>
      <c r="C101" s="418">
        <v>57600</v>
      </c>
      <c r="D101" s="419">
        <v>0</v>
      </c>
      <c r="E101" s="420">
        <f t="shared" si="1"/>
        <v>57600</v>
      </c>
      <c r="F101" s="420">
        <f>'Cost 12_11'!F101</f>
        <v>143750</v>
      </c>
      <c r="G101" s="420">
        <f>'CPR 080202'!J136</f>
        <v>57600</v>
      </c>
      <c r="H101" s="420">
        <f>'CPR 080202'!K136</f>
        <v>61847.12219238281</v>
      </c>
      <c r="I101" s="420">
        <f>F101-H101</f>
        <v>81902.87780761719</v>
      </c>
      <c r="J101" s="420">
        <f>F101-G101</f>
        <v>86150</v>
      </c>
    </row>
    <row r="102" spans="1:11" ht="12.75" outlineLevel="4">
      <c r="A102" s="6" t="s">
        <v>1062</v>
      </c>
      <c r="B102" s="6" t="s">
        <v>1606</v>
      </c>
      <c r="C102" s="412">
        <v>21840</v>
      </c>
      <c r="D102" s="413">
        <v>0</v>
      </c>
      <c r="E102" s="225">
        <f t="shared" si="1"/>
        <v>21840</v>
      </c>
      <c r="H102" s="225">
        <f>'CPR 080202'!K137</f>
        <v>23518.8348197937</v>
      </c>
      <c r="K102" s="225">
        <f>E102</f>
        <v>21840</v>
      </c>
    </row>
    <row r="103" spans="1:10" s="417" customFormat="1" ht="12.75" outlineLevel="4">
      <c r="A103" s="417" t="s">
        <v>1104</v>
      </c>
      <c r="B103" s="417" t="s">
        <v>1607</v>
      </c>
      <c r="C103" s="418">
        <v>66000</v>
      </c>
      <c r="D103" s="419">
        <v>0</v>
      </c>
      <c r="E103" s="420">
        <f t="shared" si="1"/>
        <v>66000</v>
      </c>
      <c r="F103" s="420">
        <f>'Cost 12_11'!F102</f>
        <v>0</v>
      </c>
      <c r="G103" s="420">
        <f>'CPR 080202'!J138</f>
        <v>66000</v>
      </c>
      <c r="H103" s="420">
        <f>'CPR 080202'!K138</f>
        <v>70866.49417877197</v>
      </c>
      <c r="I103" s="420">
        <f>F103-H103</f>
        <v>-70866.49417877197</v>
      </c>
      <c r="J103" s="420">
        <f>F103-G103</f>
        <v>-66000</v>
      </c>
    </row>
    <row r="104" spans="1:8" s="7" customFormat="1" ht="12.75" outlineLevel="3">
      <c r="A104" s="7" t="s">
        <v>1608</v>
      </c>
      <c r="B104" s="7" t="s">
        <v>1609</v>
      </c>
      <c r="C104" s="415">
        <v>15000</v>
      </c>
      <c r="D104" s="416">
        <v>0.9</v>
      </c>
      <c r="E104" s="215">
        <f t="shared" si="1"/>
        <v>1499.9999999999998</v>
      </c>
      <c r="F104" s="215"/>
      <c r="G104" s="215"/>
      <c r="H104" s="215">
        <f>SUM(H105:H106)</f>
        <v>15774.750709533691</v>
      </c>
    </row>
    <row r="105" spans="1:8" s="417" customFormat="1" ht="12.75" outlineLevel="4">
      <c r="A105" s="417" t="s">
        <v>1610</v>
      </c>
      <c r="B105" s="417" t="s">
        <v>1611</v>
      </c>
      <c r="C105" s="418">
        <v>5000</v>
      </c>
      <c r="D105" s="419">
        <v>0.8</v>
      </c>
      <c r="E105" s="420">
        <f t="shared" si="1"/>
        <v>999.9999999999998</v>
      </c>
      <c r="F105" s="420"/>
      <c r="G105" s="420">
        <f>'CPR 080202'!J140</f>
        <v>5000</v>
      </c>
      <c r="H105" s="420">
        <f>'CPR 080202'!K140</f>
        <v>5258.2502365112305</v>
      </c>
    </row>
    <row r="106" spans="1:8" s="417" customFormat="1" ht="12.75" outlineLevel="4">
      <c r="A106" s="417" t="s">
        <v>1612</v>
      </c>
      <c r="B106" s="417" t="s">
        <v>1613</v>
      </c>
      <c r="C106" s="418">
        <v>10000</v>
      </c>
      <c r="D106" s="419">
        <v>1</v>
      </c>
      <c r="E106" s="420">
        <f t="shared" si="1"/>
        <v>0</v>
      </c>
      <c r="F106" s="420"/>
      <c r="G106" s="420"/>
      <c r="H106" s="420">
        <f>'CPR 080202'!K141</f>
        <v>10516.500473022461</v>
      </c>
    </row>
    <row r="107" spans="1:8" s="7" customFormat="1" ht="12.75" outlineLevel="1">
      <c r="A107" s="7" t="s">
        <v>1726</v>
      </c>
      <c r="B107" s="7" t="s">
        <v>1727</v>
      </c>
      <c r="C107" s="415">
        <v>1344544.72</v>
      </c>
      <c r="D107" s="416">
        <v>0.14</v>
      </c>
      <c r="E107" s="215">
        <f t="shared" si="1"/>
        <v>1156308.4592</v>
      </c>
      <c r="F107" s="215"/>
      <c r="G107" s="215"/>
      <c r="H107" s="215">
        <f>H108</f>
        <v>390414.2530632019</v>
      </c>
    </row>
    <row r="108" spans="1:8" s="7" customFormat="1" ht="12.75" outlineLevel="2">
      <c r="A108" s="7" t="s">
        <v>1728</v>
      </c>
      <c r="B108" s="7" t="s">
        <v>1775</v>
      </c>
      <c r="C108" s="415">
        <v>357304</v>
      </c>
      <c r="D108" s="416">
        <v>0</v>
      </c>
      <c r="E108" s="215">
        <f t="shared" si="1"/>
        <v>357304</v>
      </c>
      <c r="F108" s="215"/>
      <c r="G108" s="215"/>
      <c r="H108" s="215">
        <f>H109+H114+H119+H123+H124+H127</f>
        <v>390414.2530632019</v>
      </c>
    </row>
    <row r="109" spans="1:8" s="7" customFormat="1" ht="12.75" outlineLevel="3">
      <c r="A109" s="7" t="s">
        <v>1729</v>
      </c>
      <c r="B109" s="7" t="s">
        <v>1730</v>
      </c>
      <c r="C109" s="415">
        <v>276804</v>
      </c>
      <c r="D109" s="416">
        <v>0</v>
      </c>
      <c r="E109" s="215">
        <f t="shared" si="1"/>
        <v>276804</v>
      </c>
      <c r="F109" s="215"/>
      <c r="G109" s="215"/>
      <c r="H109" s="215">
        <f>SUM(H110:H113)</f>
        <v>297214.07658576965</v>
      </c>
    </row>
    <row r="110" spans="1:10" s="417" customFormat="1" ht="12.75" outlineLevel="4">
      <c r="A110" s="417" t="s">
        <v>1731</v>
      </c>
      <c r="B110" s="417" t="s">
        <v>1732</v>
      </c>
      <c r="C110" s="418">
        <v>276804</v>
      </c>
      <c r="D110" s="419">
        <v>0</v>
      </c>
      <c r="E110" s="420">
        <f t="shared" si="1"/>
        <v>276804</v>
      </c>
      <c r="F110" s="420">
        <f>'Cost 12_11'!F52</f>
        <v>263674</v>
      </c>
      <c r="G110" s="420">
        <f>'CPR 080202'!J152</f>
        <v>276804</v>
      </c>
      <c r="H110" s="420">
        <f>'CPR 080202'!K152</f>
        <v>297214.07658576965</v>
      </c>
      <c r="I110" s="420">
        <f>F110-H110</f>
        <v>-33540.07658576965</v>
      </c>
      <c r="J110" s="420">
        <f>F110-G110</f>
        <v>-13130</v>
      </c>
    </row>
    <row r="111" spans="1:11" ht="12.75" outlineLevel="4">
      <c r="A111" s="6" t="s">
        <v>1733</v>
      </c>
      <c r="B111" s="6" t="s">
        <v>1734</v>
      </c>
      <c r="C111" s="412">
        <v>0</v>
      </c>
      <c r="D111" s="413">
        <v>0</v>
      </c>
      <c r="E111" s="225">
        <f t="shared" si="1"/>
        <v>0</v>
      </c>
      <c r="H111" s="225">
        <f>'CPR 080202'!K153</f>
        <v>0</v>
      </c>
      <c r="K111" s="225">
        <f>E111</f>
        <v>0</v>
      </c>
    </row>
    <row r="112" spans="1:10" s="417" customFormat="1" ht="12.75" outlineLevel="4">
      <c r="A112" s="417" t="s">
        <v>1735</v>
      </c>
      <c r="B112" s="417" t="s">
        <v>1736</v>
      </c>
      <c r="C112" s="418">
        <v>0</v>
      </c>
      <c r="D112" s="419">
        <v>0</v>
      </c>
      <c r="E112" s="420">
        <f t="shared" si="1"/>
        <v>0</v>
      </c>
      <c r="F112" s="420">
        <f>'Cost 12_11'!F59</f>
        <v>1260</v>
      </c>
      <c r="G112" s="420">
        <f>'CPR 080202'!J154</f>
        <v>0</v>
      </c>
      <c r="H112" s="420">
        <f>'CPR 080202'!K154</f>
        <v>0</v>
      </c>
      <c r="I112" s="420">
        <f>F112-H112</f>
        <v>1260</v>
      </c>
      <c r="J112" s="420">
        <f>F112-G112</f>
        <v>1260</v>
      </c>
    </row>
    <row r="113" spans="1:9" s="417" customFormat="1" ht="12.75" outlineLevel="4">
      <c r="A113" s="417" t="s">
        <v>1737</v>
      </c>
      <c r="B113" s="417" t="s">
        <v>1795</v>
      </c>
      <c r="C113" s="418">
        <v>0</v>
      </c>
      <c r="D113" s="419">
        <v>0</v>
      </c>
      <c r="E113" s="420">
        <f t="shared" si="1"/>
        <v>0</v>
      </c>
      <c r="F113" s="420"/>
      <c r="G113" s="420">
        <f>'CPR 080202'!J155</f>
        <v>0</v>
      </c>
      <c r="H113" s="420">
        <f>'CPR 080202'!K155</f>
        <v>0</v>
      </c>
      <c r="I113" s="420"/>
    </row>
    <row r="114" spans="1:8" s="7" customFormat="1" ht="12.75" outlineLevel="3">
      <c r="A114" s="7" t="s">
        <v>1738</v>
      </c>
      <c r="B114" s="7" t="s">
        <v>1739</v>
      </c>
      <c r="C114" s="415">
        <v>45000</v>
      </c>
      <c r="D114" s="416">
        <v>0</v>
      </c>
      <c r="E114" s="215">
        <f t="shared" si="1"/>
        <v>45000</v>
      </c>
      <c r="F114" s="215"/>
      <c r="G114" s="215"/>
      <c r="H114" s="215">
        <f>SUM(H115:H118)</f>
        <v>48318.06421279907</v>
      </c>
    </row>
    <row r="115" spans="1:10" s="417" customFormat="1" ht="12.75" outlineLevel="4">
      <c r="A115" s="417" t="s">
        <v>1740</v>
      </c>
      <c r="B115" s="417" t="s">
        <v>1741</v>
      </c>
      <c r="C115" s="418">
        <v>45000</v>
      </c>
      <c r="D115" s="419">
        <v>0</v>
      </c>
      <c r="E115" s="420">
        <f t="shared" si="1"/>
        <v>45000</v>
      </c>
      <c r="F115" s="420">
        <f>'Cost 12_11'!F66</f>
        <v>40000</v>
      </c>
      <c r="G115" s="420">
        <f>'CPR 080202'!J158</f>
        <v>45000</v>
      </c>
      <c r="H115" s="420">
        <f>'CPR 080202'!K158</f>
        <v>48318.06421279907</v>
      </c>
      <c r="I115" s="420">
        <f>F115-H115</f>
        <v>-8318.064212799072</v>
      </c>
      <c r="J115" s="420">
        <f>F115-G115</f>
        <v>-5000</v>
      </c>
    </row>
    <row r="116" spans="1:11" ht="12.75" outlineLevel="4">
      <c r="A116" s="6" t="s">
        <v>1742</v>
      </c>
      <c r="B116" s="6" t="s">
        <v>1743</v>
      </c>
      <c r="C116" s="412">
        <v>0</v>
      </c>
      <c r="D116" s="413">
        <v>0</v>
      </c>
      <c r="E116" s="225">
        <f t="shared" si="1"/>
        <v>0</v>
      </c>
      <c r="H116" s="225">
        <f>'CPR 080202'!K159</f>
        <v>0</v>
      </c>
      <c r="K116" s="225">
        <f>E116</f>
        <v>0</v>
      </c>
    </row>
    <row r="117" spans="1:10" s="417" customFormat="1" ht="12.75" outlineLevel="4">
      <c r="A117" s="417" t="s">
        <v>1744</v>
      </c>
      <c r="B117" s="417" t="s">
        <v>1745</v>
      </c>
      <c r="C117" s="418">
        <v>0</v>
      </c>
      <c r="D117" s="419">
        <v>0</v>
      </c>
      <c r="E117" s="420">
        <f t="shared" si="1"/>
        <v>0</v>
      </c>
      <c r="F117" s="420">
        <f>'Cost 12_11'!F81</f>
        <v>100</v>
      </c>
      <c r="G117" s="420">
        <f>'CPR 080202'!J160</f>
        <v>0</v>
      </c>
      <c r="H117" s="420">
        <f>'CPR 080202'!K160</f>
        <v>0</v>
      </c>
      <c r="I117" s="420">
        <f>F117-H117</f>
        <v>100</v>
      </c>
      <c r="J117" s="420">
        <f>F117-G117</f>
        <v>100</v>
      </c>
    </row>
    <row r="118" spans="1:10" s="417" customFormat="1" ht="12.75" outlineLevel="4">
      <c r="A118" s="417" t="s">
        <v>1746</v>
      </c>
      <c r="B118" s="417" t="s">
        <v>1795</v>
      </c>
      <c r="C118" s="418">
        <v>0</v>
      </c>
      <c r="D118" s="419">
        <v>0</v>
      </c>
      <c r="E118" s="420">
        <f t="shared" si="1"/>
        <v>0</v>
      </c>
      <c r="F118" s="420"/>
      <c r="G118" s="420">
        <f>'CPR 080202'!J161</f>
        <v>0</v>
      </c>
      <c r="H118" s="420">
        <f>'CPR 080202'!K161</f>
        <v>0</v>
      </c>
      <c r="I118" s="420">
        <f>F118-H118</f>
        <v>0</v>
      </c>
      <c r="J118" s="420">
        <f>F118-G118</f>
        <v>0</v>
      </c>
    </row>
    <row r="119" spans="1:8" s="7" customFormat="1" ht="12.75" outlineLevel="3">
      <c r="A119" s="7" t="s">
        <v>1747</v>
      </c>
      <c r="B119" s="7" t="s">
        <v>1829</v>
      </c>
      <c r="C119" s="415">
        <v>22000</v>
      </c>
      <c r="D119" s="416">
        <v>0</v>
      </c>
      <c r="E119" s="215">
        <f t="shared" si="1"/>
        <v>22000</v>
      </c>
      <c r="F119" s="215"/>
      <c r="G119" s="215"/>
      <c r="H119" s="215">
        <f>SUM(H120:H123)</f>
        <v>30225.633144378662</v>
      </c>
    </row>
    <row r="120" spans="1:10" s="417" customFormat="1" ht="12.75" outlineLevel="4">
      <c r="A120" s="417" t="s">
        <v>1748</v>
      </c>
      <c r="B120" s="417" t="s">
        <v>1749</v>
      </c>
      <c r="C120" s="418">
        <v>22000</v>
      </c>
      <c r="D120" s="419">
        <v>0</v>
      </c>
      <c r="E120" s="420">
        <f aca="true" t="shared" si="3" ref="E120:E158">(1-D120)*C120</f>
        <v>22000</v>
      </c>
      <c r="F120" s="420">
        <f>'Cost 12_11'!F88</f>
        <v>36204</v>
      </c>
      <c r="G120" s="420">
        <f>'CPR 080202'!J163</f>
        <v>22000</v>
      </c>
      <c r="H120" s="420">
        <f>'CPR 080202'!K163</f>
        <v>23622.164726257324</v>
      </c>
      <c r="I120" s="420">
        <f>F120-H120</f>
        <v>12581.835273742676</v>
      </c>
      <c r="J120" s="420">
        <f>F120-G120</f>
        <v>14204</v>
      </c>
    </row>
    <row r="121" spans="1:11" ht="12.75" outlineLevel="4">
      <c r="A121" s="6" t="s">
        <v>1750</v>
      </c>
      <c r="B121" s="6" t="s">
        <v>1751</v>
      </c>
      <c r="C121" s="412">
        <v>0</v>
      </c>
      <c r="D121" s="413">
        <v>0</v>
      </c>
      <c r="E121" s="225">
        <f t="shared" si="3"/>
        <v>0</v>
      </c>
      <c r="H121" s="225">
        <f>'CPR 080202'!K164</f>
        <v>0</v>
      </c>
      <c r="K121" s="225">
        <f>E121</f>
        <v>0</v>
      </c>
    </row>
    <row r="122" spans="1:10" s="417" customFormat="1" ht="12.75" outlineLevel="4">
      <c r="A122" s="417" t="s">
        <v>1752</v>
      </c>
      <c r="B122" s="417" t="s">
        <v>1753</v>
      </c>
      <c r="C122" s="418">
        <v>0</v>
      </c>
      <c r="D122" s="419">
        <v>0</v>
      </c>
      <c r="E122" s="420">
        <f t="shared" si="3"/>
        <v>0</v>
      </c>
      <c r="F122" s="420"/>
      <c r="G122" s="420">
        <f>'CPR 080202'!J165</f>
        <v>0</v>
      </c>
      <c r="H122" s="420">
        <f>'CPR 080202'!K165</f>
        <v>0</v>
      </c>
      <c r="I122" s="420">
        <f>F122-H122</f>
        <v>0</v>
      </c>
      <c r="J122" s="420">
        <f>F122-G122</f>
        <v>0</v>
      </c>
    </row>
    <row r="123" spans="1:10" s="417" customFormat="1" ht="12.75" outlineLevel="3">
      <c r="A123" s="417" t="s">
        <v>1754</v>
      </c>
      <c r="B123" s="417" t="s">
        <v>1755</v>
      </c>
      <c r="C123" s="418">
        <v>6000</v>
      </c>
      <c r="D123" s="419">
        <v>0</v>
      </c>
      <c r="E123" s="420">
        <f t="shared" si="3"/>
        <v>6000</v>
      </c>
      <c r="F123" s="420">
        <f>'Cost 12_11'!F95</f>
        <v>9000</v>
      </c>
      <c r="G123" s="420">
        <f>'CPR 080202'!J166</f>
        <v>6000</v>
      </c>
      <c r="H123" s="420">
        <f>'CPR 080202'!K166</f>
        <v>6603.468418121338</v>
      </c>
      <c r="I123" s="420">
        <f>F123-H123</f>
        <v>2396.531581878662</v>
      </c>
      <c r="J123" s="420">
        <f>F123-G123</f>
        <v>3000</v>
      </c>
    </row>
    <row r="124" spans="1:8" s="7" customFormat="1" ht="12.75" outlineLevel="3">
      <c r="A124" s="7" t="s">
        <v>1762</v>
      </c>
      <c r="B124" s="7" t="s">
        <v>10</v>
      </c>
      <c r="C124" s="415"/>
      <c r="D124" s="416"/>
      <c r="E124" s="215"/>
      <c r="F124" s="215"/>
      <c r="G124" s="215"/>
      <c r="H124" s="215">
        <f>SUM(H125:H126)</f>
        <v>0</v>
      </c>
    </row>
    <row r="125" spans="1:8" s="417" customFormat="1" ht="12.75" outlineLevel="4">
      <c r="A125" s="417" t="s">
        <v>1763</v>
      </c>
      <c r="B125" s="417" t="s">
        <v>12</v>
      </c>
      <c r="C125" s="418">
        <v>0</v>
      </c>
      <c r="D125" s="419">
        <v>0</v>
      </c>
      <c r="E125" s="420">
        <f t="shared" si="3"/>
        <v>0</v>
      </c>
      <c r="F125" s="420"/>
      <c r="G125" s="420"/>
      <c r="H125" s="420"/>
    </row>
    <row r="126" spans="1:8" s="417" customFormat="1" ht="12.75" outlineLevel="4">
      <c r="A126" s="417" t="s">
        <v>1764</v>
      </c>
      <c r="B126" s="417" t="s">
        <v>14</v>
      </c>
      <c r="C126" s="418">
        <v>0</v>
      </c>
      <c r="D126" s="419">
        <v>0</v>
      </c>
      <c r="E126" s="420">
        <f t="shared" si="3"/>
        <v>0</v>
      </c>
      <c r="F126" s="420"/>
      <c r="G126" s="420"/>
      <c r="H126" s="420"/>
    </row>
    <row r="127" spans="1:8" s="7" customFormat="1" ht="12.75" outlineLevel="3">
      <c r="A127" s="7" t="s">
        <v>1765</v>
      </c>
      <c r="B127" s="7" t="s">
        <v>1586</v>
      </c>
      <c r="C127" s="415">
        <v>7500</v>
      </c>
      <c r="D127" s="416">
        <v>0</v>
      </c>
      <c r="E127" s="215">
        <f t="shared" si="3"/>
        <v>7500</v>
      </c>
      <c r="F127" s="215"/>
      <c r="G127" s="215"/>
      <c r="H127" s="215">
        <f>SUM(H128:H131)</f>
        <v>8053.010702133179</v>
      </c>
    </row>
    <row r="128" spans="1:10" s="417" customFormat="1" ht="12.75" outlineLevel="4">
      <c r="A128" s="417" t="s">
        <v>1766</v>
      </c>
      <c r="B128" s="417" t="s">
        <v>1525</v>
      </c>
      <c r="C128" s="418">
        <v>7500</v>
      </c>
      <c r="D128" s="419">
        <v>0</v>
      </c>
      <c r="E128" s="420">
        <f t="shared" si="3"/>
        <v>7500</v>
      </c>
      <c r="F128" s="420">
        <f>'Cost 12_11'!F73</f>
        <v>7500</v>
      </c>
      <c r="G128" s="420">
        <f>'CPR 080202'!J176</f>
        <v>7500</v>
      </c>
      <c r="H128" s="420">
        <f>'CPR 080202'!K176</f>
        <v>8053.010702133179</v>
      </c>
      <c r="I128" s="420">
        <f>F128-H128</f>
        <v>-553.0107021331787</v>
      </c>
      <c r="J128" s="420">
        <f>F128-G128</f>
        <v>0</v>
      </c>
    </row>
    <row r="129" spans="1:11" ht="12.75" outlineLevel="4">
      <c r="A129" s="6" t="s">
        <v>1768</v>
      </c>
      <c r="B129" s="6" t="s">
        <v>1588</v>
      </c>
      <c r="C129" s="412">
        <v>0</v>
      </c>
      <c r="D129" s="413">
        <v>0</v>
      </c>
      <c r="E129" s="225">
        <f t="shared" si="3"/>
        <v>0</v>
      </c>
      <c r="H129" s="225">
        <f>'CPR 080202'!K177</f>
        <v>0</v>
      </c>
      <c r="K129" s="225">
        <f>E129</f>
        <v>0</v>
      </c>
    </row>
    <row r="130" spans="1:10" s="417" customFormat="1" ht="12.75" outlineLevel="4">
      <c r="A130" s="417" t="s">
        <v>1769</v>
      </c>
      <c r="B130" s="417" t="s">
        <v>1589</v>
      </c>
      <c r="C130" s="418">
        <v>0</v>
      </c>
      <c r="D130" s="419">
        <v>0</v>
      </c>
      <c r="E130" s="420">
        <f t="shared" si="3"/>
        <v>0</v>
      </c>
      <c r="F130" s="420">
        <f>'Cost 12_11'!F114</f>
        <v>50</v>
      </c>
      <c r="G130" s="420">
        <f>'CPR 080202'!J178</f>
        <v>0</v>
      </c>
      <c r="H130" s="420">
        <f>'CPR 080202'!K178</f>
        <v>0</v>
      </c>
      <c r="I130" s="420">
        <f>F130-H130</f>
        <v>50</v>
      </c>
      <c r="J130" s="420">
        <f>F130-G130</f>
        <v>50</v>
      </c>
    </row>
    <row r="131" spans="1:9" s="417" customFormat="1" ht="12.75" outlineLevel="4">
      <c r="A131" s="417" t="s">
        <v>1770</v>
      </c>
      <c r="B131" s="417" t="s">
        <v>1795</v>
      </c>
      <c r="C131" s="418">
        <v>0</v>
      </c>
      <c r="D131" s="419">
        <v>0</v>
      </c>
      <c r="E131" s="420">
        <f t="shared" si="3"/>
        <v>0</v>
      </c>
      <c r="F131" s="420"/>
      <c r="G131" s="420">
        <f>'CPR 080202'!J179</f>
        <v>0</v>
      </c>
      <c r="H131" s="420">
        <f>'CPR 080202'!K179</f>
        <v>0</v>
      </c>
      <c r="I131" s="420"/>
    </row>
    <row r="132" spans="1:8" s="7" customFormat="1" ht="12.75" outlineLevel="1">
      <c r="A132" s="7" t="s">
        <v>1771</v>
      </c>
      <c r="B132" s="7" t="s">
        <v>1772</v>
      </c>
      <c r="C132" s="415">
        <v>3215046.56</v>
      </c>
      <c r="D132" s="416">
        <v>0.49</v>
      </c>
      <c r="E132" s="215">
        <f t="shared" si="3"/>
        <v>1639673.7456</v>
      </c>
      <c r="F132" s="215"/>
      <c r="G132" s="215"/>
      <c r="H132" s="215">
        <f>H133</f>
        <v>448752.41077423096</v>
      </c>
    </row>
    <row r="133" spans="1:8" s="7" customFormat="1" ht="12.75" outlineLevel="2">
      <c r="A133" s="7" t="s">
        <v>1686</v>
      </c>
      <c r="B133" s="7" t="s">
        <v>1775</v>
      </c>
      <c r="C133" s="415">
        <v>417936</v>
      </c>
      <c r="D133" s="416">
        <v>0</v>
      </c>
      <c r="E133" s="215">
        <f t="shared" si="3"/>
        <v>417936</v>
      </c>
      <c r="F133" s="215"/>
      <c r="G133" s="215"/>
      <c r="H133" s="215">
        <f>H134+H138+H143+H147+H148+H151</f>
        <v>448752.41077423096</v>
      </c>
    </row>
    <row r="134" spans="1:8" s="7" customFormat="1" ht="12.75" outlineLevel="3">
      <c r="A134" s="7" t="s">
        <v>1687</v>
      </c>
      <c r="B134" s="7" t="s">
        <v>1730</v>
      </c>
      <c r="C134" s="415">
        <v>315836</v>
      </c>
      <c r="D134" s="416">
        <v>0</v>
      </c>
      <c r="E134" s="215">
        <f t="shared" si="3"/>
        <v>315836</v>
      </c>
      <c r="F134" s="215"/>
      <c r="G134" s="215"/>
      <c r="H134" s="215">
        <f>SUM(H135:H137)</f>
        <v>339124.0917491913</v>
      </c>
    </row>
    <row r="135" spans="1:10" s="417" customFormat="1" ht="12.75" outlineLevel="4">
      <c r="A135" s="417" t="s">
        <v>1688</v>
      </c>
      <c r="B135" s="417" t="s">
        <v>1732</v>
      </c>
      <c r="C135" s="418">
        <v>312686</v>
      </c>
      <c r="D135" s="419">
        <v>0</v>
      </c>
      <c r="E135" s="420">
        <f t="shared" si="3"/>
        <v>312686</v>
      </c>
      <c r="F135" s="420">
        <f>'Cost 12_11'!F53</f>
        <v>292860</v>
      </c>
      <c r="G135" s="420">
        <f>'CPR 080202'!J183</f>
        <v>312686</v>
      </c>
      <c r="H135" s="420">
        <f>'CPR 080202'!K183</f>
        <v>335741.82725429535</v>
      </c>
      <c r="I135" s="420">
        <f>F135-H135</f>
        <v>-42881.82725429535</v>
      </c>
      <c r="J135" s="420">
        <f>F135-G135</f>
        <v>-19826</v>
      </c>
    </row>
    <row r="136" spans="1:11" ht="12.75" outlineLevel="4">
      <c r="A136" s="6" t="s">
        <v>1689</v>
      </c>
      <c r="B136" s="6" t="s">
        <v>1734</v>
      </c>
      <c r="C136" s="412">
        <v>0</v>
      </c>
      <c r="D136" s="413">
        <v>0</v>
      </c>
      <c r="E136" s="225">
        <f t="shared" si="3"/>
        <v>0</v>
      </c>
      <c r="H136" s="225">
        <f>'CPR 080202'!K184</f>
        <v>0</v>
      </c>
      <c r="K136" s="225">
        <f>E136</f>
        <v>0</v>
      </c>
    </row>
    <row r="137" spans="1:10" s="417" customFormat="1" ht="12.75" outlineLevel="4">
      <c r="A137" s="417" t="s">
        <v>1690</v>
      </c>
      <c r="B137" s="417" t="s">
        <v>1691</v>
      </c>
      <c r="C137" s="418">
        <v>3150</v>
      </c>
      <c r="D137" s="419">
        <v>0</v>
      </c>
      <c r="E137" s="420">
        <f t="shared" si="3"/>
        <v>3150</v>
      </c>
      <c r="F137" s="420">
        <f>'Cost 12_11'!F60</f>
        <v>1400</v>
      </c>
      <c r="G137" s="420">
        <f>'CPR 080202'!J185</f>
        <v>3150</v>
      </c>
      <c r="H137" s="420">
        <f>'CPR 080202'!K185</f>
        <v>3382.264494895935</v>
      </c>
      <c r="I137" s="420">
        <f>F137-H137</f>
        <v>-1982.264494895935</v>
      </c>
      <c r="J137" s="420">
        <f>F137-G137</f>
        <v>-1750</v>
      </c>
    </row>
    <row r="138" spans="1:8" s="7" customFormat="1" ht="12.75" outlineLevel="3">
      <c r="A138" s="7" t="s">
        <v>1692</v>
      </c>
      <c r="B138" s="7" t="s">
        <v>1739</v>
      </c>
      <c r="C138" s="415">
        <v>45000</v>
      </c>
      <c r="D138" s="416">
        <v>0</v>
      </c>
      <c r="E138" s="215">
        <f t="shared" si="3"/>
        <v>45000</v>
      </c>
      <c r="F138" s="215"/>
      <c r="G138" s="215"/>
      <c r="H138" s="215">
        <f>SUM(H139:H142)</f>
        <v>48318.06421279907</v>
      </c>
    </row>
    <row r="139" spans="1:10" s="417" customFormat="1" ht="12.75" outlineLevel="4">
      <c r="A139" s="417" t="s">
        <v>1693</v>
      </c>
      <c r="B139" s="417" t="s">
        <v>1741</v>
      </c>
      <c r="C139" s="418">
        <v>45000</v>
      </c>
      <c r="D139" s="419">
        <v>0</v>
      </c>
      <c r="E139" s="420">
        <f t="shared" si="3"/>
        <v>45000</v>
      </c>
      <c r="F139" s="420">
        <f>'Cost 12_11'!F67</f>
        <v>40000</v>
      </c>
      <c r="G139" s="420">
        <f>'CPR 080202'!J188</f>
        <v>45000</v>
      </c>
      <c r="H139" s="420">
        <f>'CPR 080202'!K188</f>
        <v>48318.06421279907</v>
      </c>
      <c r="I139" s="420">
        <f>F139-H139</f>
        <v>-8318.064212799072</v>
      </c>
      <c r="J139" s="420">
        <f>F139-G139</f>
        <v>-5000</v>
      </c>
    </row>
    <row r="140" spans="1:11" ht="12.75" outlineLevel="4">
      <c r="A140" s="6" t="s">
        <v>1694</v>
      </c>
      <c r="B140" s="6" t="s">
        <v>1743</v>
      </c>
      <c r="C140" s="412">
        <v>0</v>
      </c>
      <c r="D140" s="413">
        <v>0</v>
      </c>
      <c r="E140" s="225">
        <f t="shared" si="3"/>
        <v>0</v>
      </c>
      <c r="H140" s="225">
        <f>'CPR 080202'!K189</f>
        <v>0</v>
      </c>
      <c r="K140" s="225">
        <f>E140</f>
        <v>0</v>
      </c>
    </row>
    <row r="141" spans="1:10" s="417" customFormat="1" ht="12.75" outlineLevel="4">
      <c r="A141" s="417" t="s">
        <v>1695</v>
      </c>
      <c r="B141" s="417" t="s">
        <v>1696</v>
      </c>
      <c r="C141" s="418">
        <v>0</v>
      </c>
      <c r="D141" s="419">
        <v>0</v>
      </c>
      <c r="F141" s="420">
        <f>'Cost 12_11'!F82</f>
        <v>100</v>
      </c>
      <c r="G141" s="420">
        <f>'CPR 080202'!J190</f>
        <v>0</v>
      </c>
      <c r="H141" s="420">
        <f>'CPR 080202'!K190</f>
        <v>0</v>
      </c>
      <c r="I141" s="420">
        <f>F141-H141</f>
        <v>100</v>
      </c>
      <c r="J141" s="420">
        <f>F141-G141</f>
        <v>100</v>
      </c>
    </row>
    <row r="142" spans="1:9" s="417" customFormat="1" ht="12.75" outlineLevel="4">
      <c r="A142" s="417" t="s">
        <v>1697</v>
      </c>
      <c r="B142" s="417" t="s">
        <v>1795</v>
      </c>
      <c r="C142" s="418">
        <v>0</v>
      </c>
      <c r="D142" s="419">
        <v>0</v>
      </c>
      <c r="E142" s="420">
        <f>(1-D142)*C142</f>
        <v>0</v>
      </c>
      <c r="F142" s="420"/>
      <c r="G142" s="420"/>
      <c r="H142" s="420">
        <f>'CPR 080202'!K191</f>
        <v>0</v>
      </c>
      <c r="I142" s="420"/>
    </row>
    <row r="143" spans="1:8" s="7" customFormat="1" ht="12.75" outlineLevel="3">
      <c r="A143" s="7" t="s">
        <v>1698</v>
      </c>
      <c r="B143" s="7" t="s">
        <v>1522</v>
      </c>
      <c r="C143" s="415">
        <v>22000</v>
      </c>
      <c r="D143" s="416">
        <v>0</v>
      </c>
      <c r="E143" s="215">
        <f t="shared" si="3"/>
        <v>22000</v>
      </c>
      <c r="F143" s="215"/>
      <c r="G143" s="215"/>
      <c r="H143" s="215">
        <f>SUM(H144:H146)</f>
        <v>23622.164726257324</v>
      </c>
    </row>
    <row r="144" spans="1:10" s="417" customFormat="1" ht="12.75" outlineLevel="4">
      <c r="A144" s="417" t="s">
        <v>1699</v>
      </c>
      <c r="B144" s="417" t="s">
        <v>1749</v>
      </c>
      <c r="C144" s="418">
        <v>22000</v>
      </c>
      <c r="D144" s="419">
        <v>0</v>
      </c>
      <c r="E144" s="420">
        <f t="shared" si="3"/>
        <v>22000</v>
      </c>
      <c r="F144" s="420">
        <f>'Cost 12_11'!F89</f>
        <v>36204</v>
      </c>
      <c r="G144" s="420">
        <f>'CPR 080202'!J193</f>
        <v>22000</v>
      </c>
      <c r="H144" s="420">
        <f>'CPR 080202'!K193</f>
        <v>23622.164726257324</v>
      </c>
      <c r="I144" s="420">
        <f>F144-H144</f>
        <v>12581.835273742676</v>
      </c>
      <c r="J144" s="420">
        <f>F144-G144</f>
        <v>14204</v>
      </c>
    </row>
    <row r="145" spans="1:11" ht="12.75" outlineLevel="4">
      <c r="A145" s="6" t="s">
        <v>1700</v>
      </c>
      <c r="B145" s="6" t="s">
        <v>1523</v>
      </c>
      <c r="C145" s="412">
        <v>0</v>
      </c>
      <c r="D145" s="413">
        <v>0</v>
      </c>
      <c r="E145" s="225">
        <f t="shared" si="3"/>
        <v>0</v>
      </c>
      <c r="H145" s="225">
        <f>'CPR 080202'!K194</f>
        <v>0</v>
      </c>
      <c r="K145" s="225">
        <f>E145</f>
        <v>0</v>
      </c>
    </row>
    <row r="146" spans="1:9" s="417" customFormat="1" ht="12.75" outlineLevel="4">
      <c r="A146" s="417" t="s">
        <v>1701</v>
      </c>
      <c r="B146" s="417" t="s">
        <v>1702</v>
      </c>
      <c r="C146" s="418">
        <v>0</v>
      </c>
      <c r="D146" s="419">
        <v>0</v>
      </c>
      <c r="E146" s="420">
        <f t="shared" si="3"/>
        <v>0</v>
      </c>
      <c r="F146" s="420"/>
      <c r="G146" s="420">
        <f>'CPR 080202'!J195</f>
        <v>0</v>
      </c>
      <c r="H146" s="420">
        <f>'CPR 080202'!K195</f>
        <v>0</v>
      </c>
      <c r="I146" s="420"/>
    </row>
    <row r="147" spans="1:10" s="417" customFormat="1" ht="12.75" outlineLevel="3">
      <c r="A147" s="417" t="s">
        <v>1703</v>
      </c>
      <c r="B147" s="417" t="s">
        <v>1840</v>
      </c>
      <c r="C147" s="418">
        <v>6000</v>
      </c>
      <c r="D147" s="419">
        <v>0</v>
      </c>
      <c r="E147" s="420">
        <f t="shared" si="3"/>
        <v>6000</v>
      </c>
      <c r="F147" s="420">
        <f>'Cost 12_11'!F96</f>
        <v>9000</v>
      </c>
      <c r="G147" s="420">
        <f>'CPR 080202'!J197</f>
        <v>6000</v>
      </c>
      <c r="H147" s="420">
        <f>'CPR 080202'!K197</f>
        <v>6442.408561706543</v>
      </c>
      <c r="I147" s="420">
        <f>F147-H147</f>
        <v>2557.591438293457</v>
      </c>
      <c r="J147" s="420">
        <f>F147-G147</f>
        <v>3000</v>
      </c>
    </row>
    <row r="148" spans="1:8" s="7" customFormat="1" ht="12.75" outlineLevel="3">
      <c r="A148" s="7" t="s">
        <v>1704</v>
      </c>
      <c r="B148" s="7" t="s">
        <v>1705</v>
      </c>
      <c r="C148" s="415">
        <v>21600</v>
      </c>
      <c r="D148" s="416">
        <v>0</v>
      </c>
      <c r="E148" s="215">
        <f t="shared" si="3"/>
        <v>21600</v>
      </c>
      <c r="H148" s="422">
        <f>SUM(H149:H150)</f>
        <v>23192.670822143555</v>
      </c>
    </row>
    <row r="149" spans="1:10" s="417" customFormat="1" ht="12.75" outlineLevel="4">
      <c r="A149" s="417" t="s">
        <v>1706</v>
      </c>
      <c r="B149" s="417" t="s">
        <v>585</v>
      </c>
      <c r="C149" s="418">
        <v>21600</v>
      </c>
      <c r="D149" s="419">
        <v>0</v>
      </c>
      <c r="E149" s="420">
        <f t="shared" si="3"/>
        <v>21600</v>
      </c>
      <c r="F149" s="423">
        <f>'Cost 12_11'!F108</f>
        <v>35640</v>
      </c>
      <c r="G149" s="423">
        <f>'CPR 080202'!J199</f>
        <v>21600</v>
      </c>
      <c r="H149" s="423">
        <f>'CPR 080202'!K199</f>
        <v>23192.670822143555</v>
      </c>
      <c r="I149" s="420">
        <f>F149-H149</f>
        <v>12447.329177856445</v>
      </c>
      <c r="J149" s="420">
        <f>F149-G149</f>
        <v>14040</v>
      </c>
    </row>
    <row r="150" spans="1:11" ht="12.75" outlineLevel="4">
      <c r="A150" s="6" t="s">
        <v>1707</v>
      </c>
      <c r="B150" s="6" t="s">
        <v>6</v>
      </c>
      <c r="C150" s="412">
        <v>6768</v>
      </c>
      <c r="D150" s="413"/>
      <c r="E150" s="225">
        <f t="shared" si="3"/>
        <v>6768</v>
      </c>
      <c r="H150" s="414">
        <f>'CPR 080202'!K200</f>
        <v>0</v>
      </c>
      <c r="K150" s="225">
        <f>E150</f>
        <v>6768</v>
      </c>
    </row>
    <row r="151" spans="1:8" s="7" customFormat="1" ht="12.75" outlineLevel="3">
      <c r="A151" s="7" t="s">
        <v>1720</v>
      </c>
      <c r="B151" s="7" t="s">
        <v>1586</v>
      </c>
      <c r="C151" s="415">
        <v>7500</v>
      </c>
      <c r="D151" s="416">
        <v>0</v>
      </c>
      <c r="E151" s="215">
        <f t="shared" si="3"/>
        <v>7500</v>
      </c>
      <c r="H151" s="422">
        <f>SUM(H152:H155)</f>
        <v>8053.010702133179</v>
      </c>
    </row>
    <row r="152" spans="1:10" s="417" customFormat="1" ht="12.75" outlineLevel="4">
      <c r="A152" s="417" t="s">
        <v>1721</v>
      </c>
      <c r="B152" s="417" t="s">
        <v>1525</v>
      </c>
      <c r="C152" s="418">
        <v>7500</v>
      </c>
      <c r="D152" s="419">
        <v>0</v>
      </c>
      <c r="E152" s="420">
        <f t="shared" si="3"/>
        <v>7500</v>
      </c>
      <c r="F152" s="423">
        <f>'Cost 12_11'!F73</f>
        <v>7500</v>
      </c>
      <c r="G152" s="423">
        <f>'CPR 080202'!J212</f>
        <v>7500</v>
      </c>
      <c r="H152" s="423">
        <f>'CPR 080202'!K212</f>
        <v>8053.010702133179</v>
      </c>
      <c r="I152" s="420">
        <f>F152-H152</f>
        <v>-553.0107021331787</v>
      </c>
      <c r="J152" s="420">
        <f>F152-G152</f>
        <v>0</v>
      </c>
    </row>
    <row r="153" spans="1:11" ht="12.75" outlineLevel="4">
      <c r="A153" s="6" t="s">
        <v>1722</v>
      </c>
      <c r="B153" s="6" t="s">
        <v>1588</v>
      </c>
      <c r="C153" s="412">
        <v>0</v>
      </c>
      <c r="D153" s="413">
        <v>0</v>
      </c>
      <c r="E153" s="225">
        <f t="shared" si="3"/>
        <v>0</v>
      </c>
      <c r="F153" s="6"/>
      <c r="G153" s="6"/>
      <c r="H153" s="414">
        <f>'CPR 080202'!K213</f>
        <v>0</v>
      </c>
      <c r="K153" s="225">
        <f>E153</f>
        <v>0</v>
      </c>
    </row>
    <row r="154" spans="1:9" s="417" customFormat="1" ht="12.75" outlineLevel="4">
      <c r="A154" s="417" t="s">
        <v>1723</v>
      </c>
      <c r="B154" s="417" t="s">
        <v>1589</v>
      </c>
      <c r="C154" s="418">
        <v>0</v>
      </c>
      <c r="D154" s="419">
        <v>0</v>
      </c>
      <c r="E154" s="420">
        <f t="shared" si="3"/>
        <v>0</v>
      </c>
      <c r="H154" s="423">
        <f>'CPR 080202'!K214</f>
        <v>0</v>
      </c>
      <c r="I154" s="420"/>
    </row>
    <row r="155" spans="1:9" s="417" customFormat="1" ht="12.75" outlineLevel="4">
      <c r="A155" s="417" t="s">
        <v>1724</v>
      </c>
      <c r="B155" s="417" t="s">
        <v>1795</v>
      </c>
      <c r="C155" s="418">
        <v>0</v>
      </c>
      <c r="D155" s="419">
        <v>0</v>
      </c>
      <c r="E155" s="420">
        <f t="shared" si="3"/>
        <v>0</v>
      </c>
      <c r="H155" s="423">
        <f>'CPR 080202'!K215</f>
        <v>0</v>
      </c>
      <c r="I155" s="420"/>
    </row>
    <row r="156" spans="1:8" s="7" customFormat="1" ht="12.75" outlineLevel="1">
      <c r="A156" s="7" t="s">
        <v>1725</v>
      </c>
      <c r="B156" s="7" t="s">
        <v>1524</v>
      </c>
      <c r="C156" s="415">
        <v>5177071.1</v>
      </c>
      <c r="D156" s="416">
        <v>0</v>
      </c>
      <c r="E156" s="215">
        <f t="shared" si="3"/>
        <v>5177071.1</v>
      </c>
      <c r="F156" s="215"/>
      <c r="G156" s="215"/>
      <c r="H156" s="215">
        <f>H157</f>
        <v>314898.6121606827</v>
      </c>
    </row>
    <row r="157" spans="1:8" s="7" customFormat="1" ht="12.75" outlineLevel="2">
      <c r="A157" s="7" t="s">
        <v>1650</v>
      </c>
      <c r="B157" s="7" t="s">
        <v>1775</v>
      </c>
      <c r="C157" s="415">
        <v>293994</v>
      </c>
      <c r="D157" s="416">
        <v>0</v>
      </c>
      <c r="E157" s="215">
        <f t="shared" si="3"/>
        <v>293994</v>
      </c>
      <c r="F157" s="215"/>
      <c r="G157" s="215"/>
      <c r="H157" s="215">
        <f>H158+H162+H167+H171+H172+H176</f>
        <v>314898.6121606827</v>
      </c>
    </row>
    <row r="158" spans="1:8" s="7" customFormat="1" ht="12.75" outlineLevel="3">
      <c r="A158" s="7" t="s">
        <v>1651</v>
      </c>
      <c r="B158" s="7" t="s">
        <v>1730</v>
      </c>
      <c r="C158" s="415">
        <v>228694</v>
      </c>
      <c r="D158" s="416">
        <v>0</v>
      </c>
      <c r="E158" s="215">
        <f t="shared" si="3"/>
        <v>228694</v>
      </c>
      <c r="F158" s="215"/>
      <c r="G158" s="215"/>
      <c r="H158" s="215">
        <f>SUM(H159:H161)</f>
        <v>245556.69726848602</v>
      </c>
    </row>
    <row r="159" spans="1:10" s="417" customFormat="1" ht="12.75" outlineLevel="4">
      <c r="A159" s="417" t="s">
        <v>1652</v>
      </c>
      <c r="B159" s="417" t="s">
        <v>1732</v>
      </c>
      <c r="C159" s="418">
        <v>225544</v>
      </c>
      <c r="D159" s="419">
        <v>0</v>
      </c>
      <c r="E159" s="420">
        <f aca="true" t="shared" si="4" ref="E159:E180">(1-D159)*C159</f>
        <v>225544</v>
      </c>
      <c r="F159" s="420">
        <f>'Cost 12_11'!F54</f>
        <v>196606</v>
      </c>
      <c r="G159" s="420">
        <f>'CPR 080202'!J219</f>
        <v>225544</v>
      </c>
      <c r="H159" s="420">
        <f>'CPR 080202'!K219</f>
        <v>242174.4327735901</v>
      </c>
      <c r="I159" s="420">
        <f>F159-H159</f>
        <v>-45568.43277359009</v>
      </c>
      <c r="J159" s="420">
        <f>F159-G159</f>
        <v>-28938</v>
      </c>
    </row>
    <row r="160" spans="1:11" ht="12.75" outlineLevel="4">
      <c r="A160" s="6" t="s">
        <v>1653</v>
      </c>
      <c r="B160" s="6" t="s">
        <v>1734</v>
      </c>
      <c r="C160" s="412">
        <v>0</v>
      </c>
      <c r="D160" s="413">
        <v>0</v>
      </c>
      <c r="E160" s="225">
        <f t="shared" si="4"/>
        <v>0</v>
      </c>
      <c r="H160" s="225">
        <f>'CPR 080202'!K220</f>
        <v>0</v>
      </c>
      <c r="K160" s="225">
        <f>E160</f>
        <v>0</v>
      </c>
    </row>
    <row r="161" spans="1:10" s="417" customFormat="1" ht="12.75" outlineLevel="4">
      <c r="A161" s="417" t="s">
        <v>1654</v>
      </c>
      <c r="B161" s="417" t="s">
        <v>1691</v>
      </c>
      <c r="C161" s="418">
        <v>3150</v>
      </c>
      <c r="D161" s="419">
        <v>0</v>
      </c>
      <c r="E161" s="420">
        <f t="shared" si="4"/>
        <v>3150</v>
      </c>
      <c r="F161" s="420">
        <f>'Cost 12_11'!F61</f>
        <v>940</v>
      </c>
      <c r="G161" s="420">
        <f>'CPR 080202'!J221</f>
        <v>3150</v>
      </c>
      <c r="H161" s="420">
        <f>'CPR 080202'!K221</f>
        <v>3382.264494895935</v>
      </c>
      <c r="I161" s="420">
        <f>F161-H161</f>
        <v>-2442.264494895935</v>
      </c>
      <c r="J161" s="420">
        <f>F161-G161</f>
        <v>-2210</v>
      </c>
    </row>
    <row r="162" spans="1:8" s="7" customFormat="1" ht="12.75" outlineLevel="3">
      <c r="A162" s="7" t="s">
        <v>1655</v>
      </c>
      <c r="B162" s="7" t="s">
        <v>1739</v>
      </c>
      <c r="C162" s="415">
        <v>35000</v>
      </c>
      <c r="D162" s="416">
        <v>0</v>
      </c>
      <c r="E162" s="215">
        <f t="shared" si="4"/>
        <v>35000</v>
      </c>
      <c r="F162" s="215"/>
      <c r="G162" s="215"/>
      <c r="H162" s="215">
        <f>SUM(H163:H166)</f>
        <v>36807.75165557861</v>
      </c>
    </row>
    <row r="163" spans="1:10" s="417" customFormat="1" ht="12.75" outlineLevel="4">
      <c r="A163" s="417" t="s">
        <v>1656</v>
      </c>
      <c r="B163" s="417" t="s">
        <v>1657</v>
      </c>
      <c r="C163" s="418">
        <v>35000</v>
      </c>
      <c r="D163" s="419">
        <v>0</v>
      </c>
      <c r="E163" s="420">
        <f t="shared" si="4"/>
        <v>35000</v>
      </c>
      <c r="F163" s="420">
        <f>'Cost 12_11'!F68</f>
        <v>28000</v>
      </c>
      <c r="G163" s="420">
        <f>'CPR 080202'!J224</f>
        <v>35000</v>
      </c>
      <c r="H163" s="420">
        <f>'CPR 080202'!K224</f>
        <v>36807.75165557861</v>
      </c>
      <c r="I163" s="420">
        <f>F163-H163</f>
        <v>-8807.751655578613</v>
      </c>
      <c r="J163" s="420">
        <f>F163-G163</f>
        <v>-7000</v>
      </c>
    </row>
    <row r="164" spans="1:11" ht="12.75" outlineLevel="4">
      <c r="A164" s="6" t="s">
        <v>1658</v>
      </c>
      <c r="B164" s="6" t="s">
        <v>1743</v>
      </c>
      <c r="C164" s="412">
        <v>0</v>
      </c>
      <c r="D164" s="413">
        <v>0</v>
      </c>
      <c r="E164" s="225">
        <f t="shared" si="4"/>
        <v>0</v>
      </c>
      <c r="H164" s="225">
        <f>'CPR 080202'!K225</f>
        <v>0</v>
      </c>
      <c r="K164" s="225">
        <f>E164</f>
        <v>0</v>
      </c>
    </row>
    <row r="165" spans="1:10" s="417" customFormat="1" ht="12.75" outlineLevel="4">
      <c r="A165" s="417" t="s">
        <v>1659</v>
      </c>
      <c r="B165" s="417" t="s">
        <v>1696</v>
      </c>
      <c r="C165" s="418">
        <v>0</v>
      </c>
      <c r="D165" s="419">
        <v>0</v>
      </c>
      <c r="E165" s="420">
        <f t="shared" si="4"/>
        <v>0</v>
      </c>
      <c r="F165" s="420">
        <f>'Cost 12_11'!F83</f>
        <v>70</v>
      </c>
      <c r="G165" s="420"/>
      <c r="H165" s="420">
        <f>'CPR 080202'!K226</f>
        <v>0</v>
      </c>
      <c r="I165" s="420">
        <f>F165-H165</f>
        <v>70</v>
      </c>
      <c r="J165" s="420">
        <f>F165-G165</f>
        <v>70</v>
      </c>
    </row>
    <row r="166" spans="1:8" s="417" customFormat="1" ht="12.75" outlineLevel="4">
      <c r="A166" s="417" t="s">
        <v>1660</v>
      </c>
      <c r="B166" s="417" t="s">
        <v>1795</v>
      </c>
      <c r="C166" s="418">
        <v>0</v>
      </c>
      <c r="D166" s="419">
        <v>0</v>
      </c>
      <c r="E166" s="420">
        <f t="shared" si="4"/>
        <v>0</v>
      </c>
      <c r="F166" s="420"/>
      <c r="G166" s="420"/>
      <c r="H166" s="420">
        <f>'CPR 080202'!K227</f>
        <v>0</v>
      </c>
    </row>
    <row r="167" spans="1:8" s="7" customFormat="1" ht="12.75" outlineLevel="3">
      <c r="A167" s="7" t="s">
        <v>1661</v>
      </c>
      <c r="B167" s="7" t="s">
        <v>1522</v>
      </c>
      <c r="C167" s="415">
        <v>16500</v>
      </c>
      <c r="D167" s="416">
        <v>0</v>
      </c>
      <c r="E167" s="215">
        <f t="shared" si="4"/>
        <v>16500</v>
      </c>
      <c r="H167" s="215">
        <f>SUM(H168:H170)</f>
        <v>17716.623544692993</v>
      </c>
    </row>
    <row r="168" spans="1:10" s="417" customFormat="1" ht="12.75" outlineLevel="4">
      <c r="A168" s="417" t="s">
        <v>1662</v>
      </c>
      <c r="B168" s="417" t="s">
        <v>1749</v>
      </c>
      <c r="C168" s="418">
        <v>16500</v>
      </c>
      <c r="D168" s="419">
        <v>0</v>
      </c>
      <c r="E168" s="420">
        <f t="shared" si="4"/>
        <v>16500</v>
      </c>
      <c r="F168" s="420">
        <f>'Cost 12_11'!F90</f>
        <v>27153</v>
      </c>
      <c r="G168" s="420">
        <f>'CPR 080202'!J229</f>
        <v>16500</v>
      </c>
      <c r="H168" s="420">
        <f>'CPR 080202'!K229</f>
        <v>17716.623544692993</v>
      </c>
      <c r="I168" s="420">
        <f>F168-H168</f>
        <v>9436.376455307007</v>
      </c>
      <c r="J168" s="420">
        <f>F168-G168</f>
        <v>10653</v>
      </c>
    </row>
    <row r="169" spans="1:11" ht="12.75" outlineLevel="4">
      <c r="A169" s="6" t="s">
        <v>1663</v>
      </c>
      <c r="B169" s="6" t="s">
        <v>1523</v>
      </c>
      <c r="C169" s="412">
        <v>0</v>
      </c>
      <c r="D169" s="413">
        <v>0</v>
      </c>
      <c r="E169" s="225">
        <f t="shared" si="4"/>
        <v>0</v>
      </c>
      <c r="H169" s="225">
        <f>'CPR 080202'!K230</f>
        <v>0</v>
      </c>
      <c r="K169" s="225">
        <f>E169</f>
        <v>0</v>
      </c>
    </row>
    <row r="170" spans="1:8" s="417" customFormat="1" ht="12.75" outlineLevel="4">
      <c r="A170" s="417" t="s">
        <v>1664</v>
      </c>
      <c r="B170" s="417" t="s">
        <v>1702</v>
      </c>
      <c r="C170" s="418">
        <v>0</v>
      </c>
      <c r="D170" s="419">
        <v>0</v>
      </c>
      <c r="E170" s="420">
        <f t="shared" si="4"/>
        <v>0</v>
      </c>
      <c r="F170" s="420"/>
      <c r="G170" s="420"/>
      <c r="H170" s="420">
        <f>'CPR 080202'!K231</f>
        <v>0</v>
      </c>
    </row>
    <row r="171" spans="1:10" s="417" customFormat="1" ht="12.75" outlineLevel="3">
      <c r="A171" s="417" t="s">
        <v>1665</v>
      </c>
      <c r="B171" s="417" t="s">
        <v>1840</v>
      </c>
      <c r="C171" s="418">
        <v>6000</v>
      </c>
      <c r="D171" s="419">
        <v>0</v>
      </c>
      <c r="E171" s="420">
        <f t="shared" si="4"/>
        <v>6000</v>
      </c>
      <c r="F171" s="420">
        <f>'Cost 12_11'!F97</f>
        <v>9000</v>
      </c>
      <c r="G171" s="420">
        <f>'CPR 080202'!J232</f>
        <v>6000</v>
      </c>
      <c r="H171" s="420">
        <f>'CPR 080202'!K232</f>
        <v>6442.408561706543</v>
      </c>
      <c r="I171" s="420">
        <f>F171-H171</f>
        <v>2557.591438293457</v>
      </c>
      <c r="J171" s="420">
        <f>F171-G171</f>
        <v>3000</v>
      </c>
    </row>
    <row r="172" spans="1:8" s="7" customFormat="1" ht="12.75" outlineLevel="3">
      <c r="A172" s="7" t="s">
        <v>1666</v>
      </c>
      <c r="B172" s="7" t="s">
        <v>1674</v>
      </c>
      <c r="C172" s="415">
        <v>1800</v>
      </c>
      <c r="D172" s="416">
        <v>0</v>
      </c>
      <c r="E172" s="215">
        <f t="shared" si="4"/>
        <v>1800</v>
      </c>
      <c r="H172" s="422">
        <f>SUM(H173:H175)</f>
        <v>1932.722568511963</v>
      </c>
    </row>
    <row r="173" spans="1:10" s="417" customFormat="1" ht="12.75" outlineLevel="4">
      <c r="A173" s="417" t="s">
        <v>1675</v>
      </c>
      <c r="B173" s="417" t="s">
        <v>585</v>
      </c>
      <c r="C173" s="418">
        <v>1800</v>
      </c>
      <c r="D173" s="419">
        <v>0</v>
      </c>
      <c r="E173" s="420">
        <f t="shared" si="4"/>
        <v>1800</v>
      </c>
      <c r="F173" s="423">
        <f>'Cost 12_11'!F109</f>
        <v>2970</v>
      </c>
      <c r="G173" s="423">
        <f>'CPR 080202'!J234</f>
        <v>1800</v>
      </c>
      <c r="H173" s="423">
        <f>'CPR 080202'!K234</f>
        <v>1932.722568511963</v>
      </c>
      <c r="I173" s="420">
        <f>F173-H173</f>
        <v>1037.277431488037</v>
      </c>
      <c r="J173" s="420">
        <f>F173-G173</f>
        <v>1170</v>
      </c>
    </row>
    <row r="174" spans="1:11" ht="12.75" outlineLevel="4">
      <c r="A174" s="6" t="s">
        <v>1676</v>
      </c>
      <c r="B174" s="6" t="s">
        <v>1708</v>
      </c>
      <c r="C174" s="412">
        <v>0</v>
      </c>
      <c r="D174" s="413">
        <v>0</v>
      </c>
      <c r="E174" s="225">
        <f t="shared" si="4"/>
        <v>0</v>
      </c>
      <c r="F174" s="414"/>
      <c r="G174" s="414"/>
      <c r="H174" s="414">
        <f>'CPR 080202'!K235</f>
        <v>0</v>
      </c>
      <c r="K174" s="225">
        <f>E174</f>
        <v>0</v>
      </c>
    </row>
    <row r="175" spans="1:8" s="417" customFormat="1" ht="12.75" outlineLevel="4">
      <c r="A175" s="417" t="s">
        <v>1677</v>
      </c>
      <c r="B175" s="417" t="s">
        <v>1710</v>
      </c>
      <c r="C175" s="418">
        <v>0</v>
      </c>
      <c r="D175" s="419">
        <v>0</v>
      </c>
      <c r="E175" s="420">
        <f t="shared" si="4"/>
        <v>0</v>
      </c>
      <c r="F175" s="423"/>
      <c r="G175" s="423"/>
      <c r="H175" s="423">
        <f>'CPR 080202'!K236</f>
        <v>0</v>
      </c>
    </row>
    <row r="176" spans="1:8" s="7" customFormat="1" ht="12.75" outlineLevel="3">
      <c r="A176" s="7" t="s">
        <v>1681</v>
      </c>
      <c r="B176" s="7" t="s">
        <v>1586</v>
      </c>
      <c r="C176" s="415">
        <v>6000</v>
      </c>
      <c r="D176" s="416">
        <v>0</v>
      </c>
      <c r="E176" s="215">
        <f t="shared" si="4"/>
        <v>6000</v>
      </c>
      <c r="H176" s="215">
        <f>SUM(H177:H180)</f>
        <v>6442.408561706543</v>
      </c>
    </row>
    <row r="177" spans="1:10" s="417" customFormat="1" ht="12.75" outlineLevel="4">
      <c r="A177" s="417" t="s">
        <v>1682</v>
      </c>
      <c r="B177" s="417" t="s">
        <v>1525</v>
      </c>
      <c r="C177" s="418">
        <v>6000</v>
      </c>
      <c r="D177" s="419">
        <v>0</v>
      </c>
      <c r="E177" s="420">
        <f t="shared" si="4"/>
        <v>6000</v>
      </c>
      <c r="F177" s="420">
        <f>'Cost 12_11'!F75</f>
        <v>6000</v>
      </c>
      <c r="G177" s="420">
        <f>'CPR 080202'!J241</f>
        <v>6000</v>
      </c>
      <c r="H177" s="420">
        <f>'CPR 080202'!K241</f>
        <v>6442.408561706543</v>
      </c>
      <c r="I177" s="420">
        <f>F177-H177</f>
        <v>-442.40856170654297</v>
      </c>
      <c r="J177" s="420">
        <f>F177-G177</f>
        <v>0</v>
      </c>
    </row>
    <row r="178" spans="1:11" ht="12.75" outlineLevel="4">
      <c r="A178" s="6" t="s">
        <v>1683</v>
      </c>
      <c r="B178" s="6" t="s">
        <v>1588</v>
      </c>
      <c r="C178" s="412">
        <v>0</v>
      </c>
      <c r="D178" s="413">
        <v>0</v>
      </c>
      <c r="E178" s="225">
        <f t="shared" si="4"/>
        <v>0</v>
      </c>
      <c r="H178" s="225">
        <f>'CPR 080202'!K242</f>
        <v>0</v>
      </c>
      <c r="K178" s="225">
        <f>E178</f>
        <v>0</v>
      </c>
    </row>
    <row r="179" spans="1:10" s="417" customFormat="1" ht="12.75" outlineLevel="4">
      <c r="A179" s="417" t="s">
        <v>1684</v>
      </c>
      <c r="B179" s="417" t="s">
        <v>1589</v>
      </c>
      <c r="C179" s="418">
        <v>0</v>
      </c>
      <c r="D179" s="419">
        <v>0</v>
      </c>
      <c r="E179" s="420">
        <f t="shared" si="4"/>
        <v>0</v>
      </c>
      <c r="F179" s="420">
        <f>'Cost 12_11'!F116</f>
        <v>40</v>
      </c>
      <c r="G179" s="420">
        <f>'CPR 080202'!J243</f>
        <v>0</v>
      </c>
      <c r="H179" s="420">
        <f>'CPR 080202'!K243</f>
        <v>0</v>
      </c>
      <c r="I179" s="420">
        <f>F179-H179</f>
        <v>40</v>
      </c>
      <c r="J179" s="420">
        <f>F179-G179</f>
        <v>40</v>
      </c>
    </row>
    <row r="180" spans="1:8" s="417" customFormat="1" ht="12.75" outlineLevel="4">
      <c r="A180" s="417" t="s">
        <v>1685</v>
      </c>
      <c r="B180" s="417" t="s">
        <v>1795</v>
      </c>
      <c r="C180" s="418">
        <v>0</v>
      </c>
      <c r="D180" s="419">
        <v>0</v>
      </c>
      <c r="E180" s="420">
        <f t="shared" si="4"/>
        <v>0</v>
      </c>
      <c r="F180" s="420"/>
      <c r="G180" s="420"/>
      <c r="H180" s="420">
        <f>'CPR 080202'!K244</f>
        <v>0</v>
      </c>
    </row>
    <row r="181" ht="12.75">
      <c r="K181" s="225"/>
    </row>
    <row r="182" spans="2:11" ht="12.75">
      <c r="B182" s="6" t="s">
        <v>358</v>
      </c>
      <c r="I182" s="414">
        <f>SUM(I3:I181)</f>
        <v>-32563.556710242876</v>
      </c>
      <c r="J182" s="414">
        <f>SUM(J3:J181)</f>
        <v>86164</v>
      </c>
      <c r="K182" s="225">
        <f>SUM(K8:K178)</f>
        <v>612524</v>
      </c>
    </row>
  </sheetData>
  <mergeCells count="1">
    <mergeCell ref="I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O534"/>
  <sheetViews>
    <sheetView zoomScale="120" zoomScaleNormal="120" workbookViewId="0" topLeftCell="A17">
      <pane ySplit="645" topLeftCell="BM1" activePane="bottomLeft" state="split"/>
      <selection pane="topLeft" activeCell="K1" sqref="K1:K16384"/>
      <selection pane="bottomLeft" activeCell="F5" sqref="F5:F6"/>
    </sheetView>
  </sheetViews>
  <sheetFormatPr defaultColWidth="9.140625" defaultRowHeight="12.75" outlineLevelRow="7"/>
  <cols>
    <col min="1" max="1" width="14.7109375" style="0" bestFit="1" customWidth="1"/>
    <col min="2" max="2" width="31.7109375" style="74" customWidth="1"/>
    <col min="3" max="3" width="13.421875" style="40" customWidth="1"/>
    <col min="4" max="4" width="13.421875" style="26" customWidth="1"/>
    <col min="5" max="5" width="11.140625" style="27" customWidth="1"/>
    <col min="6" max="6" width="9.28125" style="93" customWidth="1"/>
    <col min="7" max="7" width="6.28125" style="40" customWidth="1"/>
    <col min="8" max="8" width="8.7109375" style="63" customWidth="1"/>
    <col min="9" max="9" width="12.8515625" style="63" bestFit="1" customWidth="1"/>
    <col min="10" max="10" width="9.140625" style="203" customWidth="1"/>
    <col min="11" max="12" width="9.140625" style="40" customWidth="1"/>
    <col min="13" max="13" width="11.28125" style="203" bestFit="1" customWidth="1"/>
    <col min="14" max="14" width="9.57421875" style="40" bestFit="1" customWidth="1"/>
  </cols>
  <sheetData>
    <row r="1" spans="2:14" s="1" customFormat="1" ht="12.75">
      <c r="B1" s="54" t="s">
        <v>253</v>
      </c>
      <c r="C1" s="54"/>
      <c r="D1" s="14"/>
      <c r="E1" s="15"/>
      <c r="F1" s="92"/>
      <c r="G1" s="54"/>
      <c r="H1" s="59"/>
      <c r="I1" s="59"/>
      <c r="J1" s="202"/>
      <c r="K1" s="54"/>
      <c r="L1" s="54"/>
      <c r="M1" s="202"/>
      <c r="N1" s="54"/>
    </row>
    <row r="2" spans="2:6" ht="12.75" outlineLevel="1">
      <c r="B2" s="79" t="s">
        <v>244</v>
      </c>
      <c r="F2" s="93">
        <v>1.67</v>
      </c>
    </row>
    <row r="3" ht="12.75" outlineLevel="1" collapsed="1">
      <c r="B3" s="79" t="s">
        <v>252</v>
      </c>
    </row>
    <row r="4" spans="2:6" ht="12.75" hidden="1" outlineLevel="2">
      <c r="B4" s="80" t="s">
        <v>246</v>
      </c>
      <c r="F4" s="93">
        <v>218.4</v>
      </c>
    </row>
    <row r="5" spans="2:6" ht="12.75" hidden="1" outlineLevel="2">
      <c r="B5" s="80" t="s">
        <v>248</v>
      </c>
      <c r="F5" s="93">
        <v>480</v>
      </c>
    </row>
    <row r="6" spans="2:6" ht="12.75" hidden="1" outlineLevel="2">
      <c r="B6" s="80" t="s">
        <v>247</v>
      </c>
      <c r="F6" s="93">
        <v>422.8</v>
      </c>
    </row>
    <row r="7" spans="2:6" ht="12.75" hidden="1" outlineLevel="2">
      <c r="B7" s="80" t="s">
        <v>249</v>
      </c>
      <c r="F7" s="93">
        <v>422.8</v>
      </c>
    </row>
    <row r="8" spans="2:6" ht="12.75" hidden="1" outlineLevel="2">
      <c r="B8" s="80" t="s">
        <v>251</v>
      </c>
      <c r="F8" s="93">
        <v>422.8</v>
      </c>
    </row>
    <row r="9" spans="2:11" ht="12.75" hidden="1" outlineLevel="2">
      <c r="B9" s="80" t="s">
        <v>333</v>
      </c>
      <c r="H9" s="63">
        <f>H68</f>
        <v>2500</v>
      </c>
      <c r="K9" s="208">
        <f>'Cost 5_02'!I14</f>
        <v>5126</v>
      </c>
    </row>
    <row r="10" spans="2:11" ht="12.75" hidden="1" outlineLevel="2">
      <c r="B10" s="80" t="s">
        <v>334</v>
      </c>
      <c r="H10" s="63">
        <f>H155</f>
        <v>7800</v>
      </c>
      <c r="K10" s="208">
        <f>'Cost 5_02'!E17</f>
        <v>6200</v>
      </c>
    </row>
    <row r="11" spans="2:11" ht="12.75" hidden="1" outlineLevel="2">
      <c r="B11" s="80" t="s">
        <v>335</v>
      </c>
      <c r="H11" s="63">
        <f>H280</f>
        <v>6500</v>
      </c>
      <c r="K11" s="208">
        <f>'Cost 5_02'!E18</f>
        <v>1500</v>
      </c>
    </row>
    <row r="12" spans="2:11" ht="12.75" hidden="1" outlineLevel="2">
      <c r="B12" s="80" t="s">
        <v>337</v>
      </c>
      <c r="H12" s="63">
        <f>H170</f>
        <v>5500</v>
      </c>
      <c r="K12" s="208">
        <f>'Cost 5_02'!E19</f>
        <v>5500</v>
      </c>
    </row>
    <row r="13" spans="2:11" ht="12.75" hidden="1" outlineLevel="2">
      <c r="B13" s="80" t="s">
        <v>338</v>
      </c>
      <c r="H13" s="63">
        <f>H179</f>
        <v>3000</v>
      </c>
      <c r="K13" s="208">
        <f>'Cost 5_02'!E20</f>
        <v>3000</v>
      </c>
    </row>
    <row r="14" spans="2:12" ht="12.75" hidden="1" outlineLevel="2">
      <c r="B14" s="80" t="s">
        <v>341</v>
      </c>
      <c r="H14" s="63">
        <f>H185</f>
        <v>131.2594328</v>
      </c>
      <c r="K14" s="208">
        <v>60</v>
      </c>
      <c r="L14" s="10"/>
    </row>
    <row r="15" spans="2:12" ht="12.75" hidden="1" outlineLevel="2">
      <c r="B15" s="80" t="s">
        <v>1044</v>
      </c>
      <c r="K15" s="208">
        <f>'Cost 5_02'!E16</f>
        <v>100</v>
      </c>
      <c r="L15" s="10"/>
    </row>
    <row r="16" spans="2:12" ht="12.75" hidden="1" outlineLevel="2">
      <c r="B16" s="80" t="s">
        <v>1063</v>
      </c>
      <c r="K16" s="208">
        <v>300</v>
      </c>
      <c r="L16" s="10"/>
    </row>
    <row r="17" spans="2:12" ht="12.75">
      <c r="B17" s="80"/>
      <c r="K17" s="517" t="s">
        <v>1057</v>
      </c>
      <c r="L17" s="517"/>
    </row>
    <row r="18" spans="1:14" ht="12.75">
      <c r="A18" t="s">
        <v>166</v>
      </c>
      <c r="B18" s="40" t="s">
        <v>167</v>
      </c>
      <c r="C18" s="10" t="s">
        <v>204</v>
      </c>
      <c r="D18" s="11" t="s">
        <v>205</v>
      </c>
      <c r="E18" s="12" t="s">
        <v>203</v>
      </c>
      <c r="F18" s="94" t="s">
        <v>206</v>
      </c>
      <c r="G18" s="10" t="s">
        <v>211</v>
      </c>
      <c r="H18" s="58" t="s">
        <v>212</v>
      </c>
      <c r="I18" s="58" t="s">
        <v>168</v>
      </c>
      <c r="J18" s="208" t="s">
        <v>1031</v>
      </c>
      <c r="K18" s="40" t="s">
        <v>211</v>
      </c>
      <c r="L18" s="40" t="s">
        <v>168</v>
      </c>
      <c r="M18" s="208" t="s">
        <v>1060</v>
      </c>
      <c r="N18" s="40" t="s">
        <v>1098</v>
      </c>
    </row>
    <row r="19" spans="1:14" ht="12.75">
      <c r="A19" s="299" t="s">
        <v>429</v>
      </c>
      <c r="B19" s="54" t="s">
        <v>1028</v>
      </c>
      <c r="C19" s="10"/>
      <c r="D19" s="11"/>
      <c r="E19" s="12"/>
      <c r="F19" s="94"/>
      <c r="G19" s="10"/>
      <c r="H19" s="58"/>
      <c r="I19" s="58"/>
      <c r="N19" s="229"/>
    </row>
    <row r="20" spans="1:14" ht="12.75" collapsed="1">
      <c r="A20" s="4" t="s">
        <v>370</v>
      </c>
      <c r="B20" s="54" t="s">
        <v>367</v>
      </c>
      <c r="C20" s="10"/>
      <c r="D20" s="11"/>
      <c r="E20" s="12"/>
      <c r="F20" s="94"/>
      <c r="G20" s="10"/>
      <c r="H20" s="58"/>
      <c r="I20" s="58"/>
      <c r="N20" s="229"/>
    </row>
    <row r="21" spans="1:14" s="4" customFormat="1" ht="12.75" hidden="1" outlineLevel="2">
      <c r="A21" s="4" t="s">
        <v>1428</v>
      </c>
      <c r="B21" s="54" t="s">
        <v>1431</v>
      </c>
      <c r="C21" s="16"/>
      <c r="D21" s="17"/>
      <c r="E21" s="18"/>
      <c r="F21" s="95"/>
      <c r="G21" s="43"/>
      <c r="H21" s="60"/>
      <c r="I21" s="60"/>
      <c r="J21" s="204"/>
      <c r="K21" s="91"/>
      <c r="L21" s="91"/>
      <c r="M21" s="204"/>
      <c r="N21" s="231"/>
    </row>
    <row r="22" spans="1:14" s="4" customFormat="1" ht="12.75" hidden="1" outlineLevel="2">
      <c r="A22" s="4" t="s">
        <v>1429</v>
      </c>
      <c r="B22" s="54" t="s">
        <v>1430</v>
      </c>
      <c r="C22" s="16"/>
      <c r="D22" s="17"/>
      <c r="E22" s="18"/>
      <c r="F22" s="95"/>
      <c r="G22" s="43"/>
      <c r="H22" s="60"/>
      <c r="I22" s="60"/>
      <c r="J22" s="204"/>
      <c r="K22" s="91"/>
      <c r="L22" s="91"/>
      <c r="M22" s="204"/>
      <c r="N22" s="231"/>
    </row>
    <row r="23" spans="1:14" s="1" customFormat="1" ht="12.75">
      <c r="A23" s="1" t="s">
        <v>169</v>
      </c>
      <c r="B23" s="54" t="s">
        <v>170</v>
      </c>
      <c r="C23" s="13">
        <v>34974.33333333333</v>
      </c>
      <c r="D23" s="14">
        <v>38791</v>
      </c>
      <c r="E23" s="15">
        <v>2609</v>
      </c>
      <c r="F23" s="92">
        <v>720853.06</v>
      </c>
      <c r="G23" s="41"/>
      <c r="H23" s="59"/>
      <c r="I23" s="59">
        <v>46913794.44</v>
      </c>
      <c r="J23" s="202"/>
      <c r="K23" s="54"/>
      <c r="L23" s="54"/>
      <c r="M23" s="202"/>
      <c r="N23" s="230"/>
    </row>
    <row r="24" spans="1:14" s="4" customFormat="1" ht="12.75" outlineLevel="1" collapsed="1">
      <c r="A24" s="4" t="s">
        <v>171</v>
      </c>
      <c r="B24" s="91" t="s">
        <v>172</v>
      </c>
      <c r="C24" s="16">
        <v>34974.33333333333</v>
      </c>
      <c r="D24" s="17">
        <v>38791</v>
      </c>
      <c r="E24" s="18">
        <v>2311</v>
      </c>
      <c r="F24" s="95">
        <v>327458.2</v>
      </c>
      <c r="G24" s="43"/>
      <c r="H24" s="60"/>
      <c r="I24" s="60">
        <v>24422100.86</v>
      </c>
      <c r="J24" s="204"/>
      <c r="K24" s="91"/>
      <c r="L24" s="91"/>
      <c r="M24" s="204"/>
      <c r="N24" s="231"/>
    </row>
    <row r="25" spans="1:14" s="4" customFormat="1" ht="12.75" hidden="1" outlineLevel="2" collapsed="1">
      <c r="A25" s="4" t="s">
        <v>1774</v>
      </c>
      <c r="B25" s="91" t="s">
        <v>1775</v>
      </c>
      <c r="C25" s="16">
        <v>35612.33333333333</v>
      </c>
      <c r="D25" s="17">
        <v>38259.70833333333</v>
      </c>
      <c r="E25" s="18">
        <v>1816</v>
      </c>
      <c r="F25" s="95">
        <f>F26+F85+F167+F177+F184+F200+F204+F211+F293+F348+F380+F401</f>
        <v>2584</v>
      </c>
      <c r="G25" s="43"/>
      <c r="H25" s="60"/>
      <c r="I25" s="60">
        <v>1924411.95</v>
      </c>
      <c r="J25" s="205">
        <f>I25/I24</f>
        <v>0.07879796914408452</v>
      </c>
      <c r="K25" s="91"/>
      <c r="L25" s="205">
        <f>L26+L85+L167+L177+L184+L204+L211+L293+L348+L380+L401+L425</f>
        <v>2148867.9699999997</v>
      </c>
      <c r="M25" s="204">
        <f>L25-I25</f>
        <v>224456.0199999998</v>
      </c>
      <c r="N25" s="231"/>
    </row>
    <row r="26" spans="1:14" s="7" customFormat="1" ht="12.75" hidden="1" outlineLevel="3" collapsed="1">
      <c r="A26" s="7" t="s">
        <v>1776</v>
      </c>
      <c r="B26" s="55" t="s">
        <v>1777</v>
      </c>
      <c r="C26" s="19">
        <v>35612.33333333333</v>
      </c>
      <c r="D26" s="20">
        <v>37795.70833333333</v>
      </c>
      <c r="E26" s="21">
        <v>1496</v>
      </c>
      <c r="F26" s="96">
        <f>F27+F29+F31+F43+F56+F67</f>
        <v>389</v>
      </c>
      <c r="G26" s="45"/>
      <c r="H26" s="61"/>
      <c r="I26" s="61">
        <v>710104</v>
      </c>
      <c r="J26" s="206"/>
      <c r="K26" s="51">
        <f>K67</f>
        <v>65</v>
      </c>
      <c r="L26" s="206">
        <f>L29+L31+L43+L56+L67</f>
        <v>675244</v>
      </c>
      <c r="M26" s="215">
        <f>L26-I26</f>
        <v>-34860</v>
      </c>
      <c r="N26" s="232"/>
    </row>
    <row r="27" spans="1:14" s="5" customFormat="1" ht="12.75" hidden="1" outlineLevel="4">
      <c r="A27" s="5" t="s">
        <v>182</v>
      </c>
      <c r="B27" s="56" t="s">
        <v>1778</v>
      </c>
      <c r="C27" s="22">
        <v>35612.33333333333</v>
      </c>
      <c r="D27" s="23">
        <v>35625.70833333333</v>
      </c>
      <c r="E27" s="24">
        <v>10</v>
      </c>
      <c r="F27" s="97">
        <f>F28</f>
        <v>5</v>
      </c>
      <c r="G27" s="46"/>
      <c r="H27" s="62"/>
      <c r="I27" s="62">
        <v>2114</v>
      </c>
      <c r="J27" s="207"/>
      <c r="K27" s="46"/>
      <c r="L27" s="46"/>
      <c r="M27" s="216"/>
      <c r="N27" s="233"/>
    </row>
    <row r="28" spans="2:14" s="2" customFormat="1" ht="12.75" hidden="1" outlineLevel="6">
      <c r="B28" s="77" t="s">
        <v>175</v>
      </c>
      <c r="C28" s="25">
        <v>35612.33333333333</v>
      </c>
      <c r="D28" s="26">
        <v>35625.70833333333</v>
      </c>
      <c r="E28" s="27"/>
      <c r="F28" s="93">
        <v>5</v>
      </c>
      <c r="G28" s="40"/>
      <c r="H28" s="63">
        <f>$F$8</f>
        <v>422.8</v>
      </c>
      <c r="I28" s="63">
        <f>F28*H28</f>
        <v>2114</v>
      </c>
      <c r="J28" s="208"/>
      <c r="K28" s="40"/>
      <c r="L28" s="40"/>
      <c r="M28" s="223"/>
      <c r="N28" s="229">
        <v>0</v>
      </c>
    </row>
    <row r="29" spans="1:14" s="5" customFormat="1" ht="12.75" hidden="1" outlineLevel="4">
      <c r="A29" s="5" t="s">
        <v>187</v>
      </c>
      <c r="B29" s="56" t="s">
        <v>1779</v>
      </c>
      <c r="C29" s="22">
        <v>36381.33333333333</v>
      </c>
      <c r="D29" s="23">
        <v>36406.70833333333</v>
      </c>
      <c r="E29" s="24">
        <v>20</v>
      </c>
      <c r="F29" s="97">
        <f>F30</f>
        <v>10</v>
      </c>
      <c r="G29" s="46"/>
      <c r="H29" s="62"/>
      <c r="I29" s="62">
        <v>4800</v>
      </c>
      <c r="J29" s="207">
        <v>4800</v>
      </c>
      <c r="K29" s="46"/>
      <c r="L29" s="207">
        <f>J29</f>
        <v>4800</v>
      </c>
      <c r="M29" s="216">
        <f>L29-I29</f>
        <v>0</v>
      </c>
      <c r="N29" s="233">
        <f>L29</f>
        <v>4800</v>
      </c>
    </row>
    <row r="30" spans="2:14" s="2" customFormat="1" ht="12.75" hidden="1" outlineLevel="6">
      <c r="B30" s="77" t="s">
        <v>1780</v>
      </c>
      <c r="C30" s="25">
        <v>36381.33333333333</v>
      </c>
      <c r="D30" s="26">
        <v>36406.70833333333</v>
      </c>
      <c r="E30" s="27"/>
      <c r="F30" s="93">
        <v>10</v>
      </c>
      <c r="G30" s="40"/>
      <c r="H30" s="63">
        <f>$F$5</f>
        <v>480</v>
      </c>
      <c r="I30" s="63">
        <f>F30*H30</f>
        <v>4800</v>
      </c>
      <c r="J30" s="208"/>
      <c r="K30" s="40"/>
      <c r="L30" s="63">
        <f>I30</f>
        <v>4800</v>
      </c>
      <c r="M30" s="216">
        <f>L30-I30</f>
        <v>0</v>
      </c>
      <c r="N30" s="229"/>
    </row>
    <row r="31" spans="1:14" s="5" customFormat="1" ht="12.75" hidden="1" outlineLevel="4">
      <c r="A31" s="5" t="s">
        <v>188</v>
      </c>
      <c r="B31" s="56" t="s">
        <v>1781</v>
      </c>
      <c r="C31" s="22">
        <v>36619.33333333333</v>
      </c>
      <c r="D31" s="23">
        <v>36756.70833333333</v>
      </c>
      <c r="E31" s="24">
        <v>100</v>
      </c>
      <c r="F31" s="97">
        <f>F32</f>
        <v>90</v>
      </c>
      <c r="G31" s="46"/>
      <c r="H31" s="62"/>
      <c r="I31" s="62">
        <v>55584</v>
      </c>
      <c r="J31" s="62">
        <v>55584</v>
      </c>
      <c r="K31" s="46"/>
      <c r="L31" s="62">
        <f>L32+L38</f>
        <v>55584</v>
      </c>
      <c r="M31" s="216">
        <f>L31-I31</f>
        <v>0</v>
      </c>
      <c r="N31" s="233"/>
    </row>
    <row r="32" spans="1:14" s="2" customFormat="1" ht="12.75" hidden="1" outlineLevel="5">
      <c r="A32" s="2" t="s">
        <v>189</v>
      </c>
      <c r="B32" s="57" t="s">
        <v>1782</v>
      </c>
      <c r="C32" s="25">
        <v>36619.33333333333</v>
      </c>
      <c r="D32" s="26">
        <v>36756.70833333333</v>
      </c>
      <c r="E32" s="27">
        <v>100</v>
      </c>
      <c r="F32" s="93">
        <f>F33+F37</f>
        <v>90</v>
      </c>
      <c r="G32" s="40"/>
      <c r="H32" s="63"/>
      <c r="I32" s="63">
        <f>I33+I37</f>
        <v>40584</v>
      </c>
      <c r="J32" s="208">
        <v>40584</v>
      </c>
      <c r="K32" s="40"/>
      <c r="L32" s="208">
        <f>J32</f>
        <v>40584</v>
      </c>
      <c r="M32" s="216"/>
      <c r="N32" s="229">
        <f>L32</f>
        <v>40584</v>
      </c>
    </row>
    <row r="33" spans="2:14" s="2" customFormat="1" ht="12.75" hidden="1" outlineLevel="6">
      <c r="B33" s="77" t="s">
        <v>1780</v>
      </c>
      <c r="C33" s="25">
        <v>36619.33333333333</v>
      </c>
      <c r="D33" s="26">
        <v>36756.70833333333</v>
      </c>
      <c r="E33" s="27"/>
      <c r="F33" s="93">
        <f>SUM(F34:F36)</f>
        <v>80</v>
      </c>
      <c r="G33" s="40"/>
      <c r="H33" s="63">
        <f>$F$5</f>
        <v>480</v>
      </c>
      <c r="I33" s="63">
        <f>F33*H33</f>
        <v>38400</v>
      </c>
      <c r="J33" s="208"/>
      <c r="K33" s="40"/>
      <c r="L33" s="40"/>
      <c r="M33" s="216"/>
      <c r="N33" s="229"/>
    </row>
    <row r="34" spans="2:14" s="2" customFormat="1" ht="12.75" hidden="1" outlineLevel="7">
      <c r="B34" s="78" t="s">
        <v>202</v>
      </c>
      <c r="C34" s="25"/>
      <c r="D34" s="26"/>
      <c r="E34" s="27"/>
      <c r="F34" s="93">
        <v>10</v>
      </c>
      <c r="G34" s="40"/>
      <c r="H34" s="63"/>
      <c r="I34" s="63"/>
      <c r="J34" s="208"/>
      <c r="K34" s="40"/>
      <c r="L34" s="40"/>
      <c r="M34" s="216"/>
      <c r="N34" s="229"/>
    </row>
    <row r="35" spans="2:14" s="2" customFormat="1" ht="12.75" hidden="1" outlineLevel="7">
      <c r="B35" s="78" t="s">
        <v>207</v>
      </c>
      <c r="C35" s="25"/>
      <c r="D35" s="26"/>
      <c r="E35" s="27"/>
      <c r="F35" s="93">
        <v>30</v>
      </c>
      <c r="G35" s="40"/>
      <c r="H35" s="63"/>
      <c r="I35" s="63"/>
      <c r="J35" s="208"/>
      <c r="K35" s="40"/>
      <c r="L35" s="40"/>
      <c r="M35" s="216"/>
      <c r="N35" s="229"/>
    </row>
    <row r="36" spans="2:14" s="2" customFormat="1" ht="12.75" hidden="1" outlineLevel="7">
      <c r="B36" s="78" t="s">
        <v>208</v>
      </c>
      <c r="C36" s="25"/>
      <c r="D36" s="26"/>
      <c r="E36" s="27"/>
      <c r="F36" s="93">
        <v>40</v>
      </c>
      <c r="G36" s="40"/>
      <c r="H36" s="63"/>
      <c r="I36" s="63"/>
      <c r="J36" s="208"/>
      <c r="K36" s="40"/>
      <c r="L36" s="40"/>
      <c r="M36" s="216"/>
      <c r="N36" s="229"/>
    </row>
    <row r="37" spans="2:14" s="2" customFormat="1" ht="12.75" hidden="1" outlineLevel="6">
      <c r="B37" s="77" t="s">
        <v>174</v>
      </c>
      <c r="C37" s="25">
        <v>36619.33333333333</v>
      </c>
      <c r="D37" s="26">
        <v>36756.70833333333</v>
      </c>
      <c r="E37" s="27"/>
      <c r="F37" s="93">
        <v>10</v>
      </c>
      <c r="G37" s="40"/>
      <c r="H37" s="63">
        <f>$F$4</f>
        <v>218.4</v>
      </c>
      <c r="I37" s="63">
        <f>F37*H37</f>
        <v>2184</v>
      </c>
      <c r="J37" s="208"/>
      <c r="K37" s="40"/>
      <c r="L37" s="40"/>
      <c r="M37" s="216"/>
      <c r="N37" s="229"/>
    </row>
    <row r="38" spans="1:14" s="2" customFormat="1" ht="12.75" hidden="1" outlineLevel="5">
      <c r="A38" s="2" t="s">
        <v>190</v>
      </c>
      <c r="B38" s="57" t="s">
        <v>1783</v>
      </c>
      <c r="C38" s="25">
        <v>36619.33333333333</v>
      </c>
      <c r="D38" s="26">
        <v>36700.70833333333</v>
      </c>
      <c r="E38" s="27">
        <v>60</v>
      </c>
      <c r="F38" s="93" t="s">
        <v>227</v>
      </c>
      <c r="G38" s="40"/>
      <c r="H38" s="63"/>
      <c r="I38" s="63">
        <f>G39*H42</f>
        <v>15000</v>
      </c>
      <c r="J38" s="208">
        <v>15000</v>
      </c>
      <c r="K38" s="40"/>
      <c r="L38" s="208">
        <f>J38</f>
        <v>15000</v>
      </c>
      <c r="M38" s="216"/>
      <c r="N38" s="229">
        <f>L38</f>
        <v>15000</v>
      </c>
    </row>
    <row r="39" spans="2:14" s="2" customFormat="1" ht="12.75" hidden="1" outlineLevel="6">
      <c r="B39" s="77" t="s">
        <v>213</v>
      </c>
      <c r="C39" s="25"/>
      <c r="D39" s="26"/>
      <c r="E39" s="27"/>
      <c r="F39" s="93"/>
      <c r="G39" s="40">
        <v>5</v>
      </c>
      <c r="H39" s="63"/>
      <c r="I39" s="63"/>
      <c r="J39" s="208"/>
      <c r="K39" s="40"/>
      <c r="L39" s="40"/>
      <c r="M39" s="216">
        <f>L39-I39</f>
        <v>0</v>
      </c>
      <c r="N39" s="229"/>
    </row>
    <row r="40" spans="2:14" s="2" customFormat="1" ht="12.75" hidden="1" outlineLevel="6">
      <c r="B40" s="77" t="s">
        <v>225</v>
      </c>
      <c r="C40" s="25"/>
      <c r="D40" s="26"/>
      <c r="E40" s="27"/>
      <c r="F40" s="93"/>
      <c r="G40" s="40"/>
      <c r="H40" s="63">
        <v>2000</v>
      </c>
      <c r="I40" s="63"/>
      <c r="J40" s="208"/>
      <c r="K40" s="40"/>
      <c r="L40" s="40"/>
      <c r="M40" s="216">
        <f>L40-I40</f>
        <v>0</v>
      </c>
      <c r="N40" s="229"/>
    </row>
    <row r="41" spans="2:14" s="2" customFormat="1" ht="12.75" hidden="1" outlineLevel="6">
      <c r="B41" s="77" t="s">
        <v>226</v>
      </c>
      <c r="C41" s="25"/>
      <c r="D41" s="26"/>
      <c r="E41" s="27"/>
      <c r="F41" s="93"/>
      <c r="G41" s="40"/>
      <c r="H41" s="63">
        <v>1000</v>
      </c>
      <c r="I41" s="63"/>
      <c r="J41" s="208"/>
      <c r="K41" s="40"/>
      <c r="L41" s="40"/>
      <c r="M41" s="216">
        <f>L41-I41</f>
        <v>0</v>
      </c>
      <c r="N41" s="229"/>
    </row>
    <row r="42" spans="2:14" s="2" customFormat="1" ht="12.75" hidden="1" outlineLevel="6">
      <c r="B42" s="77" t="s">
        <v>237</v>
      </c>
      <c r="C42" s="25"/>
      <c r="D42" s="26"/>
      <c r="E42" s="27"/>
      <c r="F42" s="93"/>
      <c r="G42" s="40"/>
      <c r="H42" s="63">
        <f>SUM(H40:H41)</f>
        <v>3000</v>
      </c>
      <c r="I42" s="63"/>
      <c r="J42" s="208"/>
      <c r="K42" s="40"/>
      <c r="L42" s="40"/>
      <c r="M42" s="216">
        <f>L42-I42</f>
        <v>0</v>
      </c>
      <c r="N42" s="229"/>
    </row>
    <row r="43" spans="1:14" s="5" customFormat="1" ht="12.75" hidden="1" outlineLevel="4">
      <c r="A43" s="5" t="s">
        <v>191</v>
      </c>
      <c r="B43" s="56" t="s">
        <v>1784</v>
      </c>
      <c r="C43" s="22">
        <v>36901.33333333333</v>
      </c>
      <c r="D43" s="23">
        <v>37180.70833333333</v>
      </c>
      <c r="E43" s="24">
        <v>200</v>
      </c>
      <c r="F43" s="97">
        <f>F44+F52</f>
        <v>170</v>
      </c>
      <c r="G43" s="46"/>
      <c r="H43" s="62"/>
      <c r="I43" s="62">
        <v>84520</v>
      </c>
      <c r="J43" s="62">
        <v>84520</v>
      </c>
      <c r="K43" s="46"/>
      <c r="L43" s="62">
        <f>L44+L52</f>
        <v>98520</v>
      </c>
      <c r="M43" s="216">
        <f>L43-I43</f>
        <v>14000</v>
      </c>
      <c r="N43" s="233"/>
    </row>
    <row r="44" spans="1:14" s="2" customFormat="1" ht="12.75" hidden="1" outlineLevel="5">
      <c r="A44" s="2" t="s">
        <v>192</v>
      </c>
      <c r="B44" s="57" t="s">
        <v>1785</v>
      </c>
      <c r="C44" s="25">
        <v>36901.33333333333</v>
      </c>
      <c r="D44" s="26">
        <v>37180.70833333333</v>
      </c>
      <c r="E44" s="27">
        <v>200</v>
      </c>
      <c r="F44" s="93">
        <v>170</v>
      </c>
      <c r="G44" s="40"/>
      <c r="H44" s="63"/>
      <c r="I44" s="63">
        <f>I45+I49</f>
        <v>68520</v>
      </c>
      <c r="J44" s="208">
        <v>68520</v>
      </c>
      <c r="K44" s="40"/>
      <c r="L44" s="208">
        <f>J44</f>
        <v>68520</v>
      </c>
      <c r="M44" s="216"/>
      <c r="N44" s="229">
        <f>L44</f>
        <v>68520</v>
      </c>
    </row>
    <row r="45" spans="2:14" s="2" customFormat="1" ht="12.75" hidden="1" outlineLevel="6">
      <c r="B45" s="77" t="s">
        <v>1780</v>
      </c>
      <c r="C45" s="25">
        <v>36901.33333333333</v>
      </c>
      <c r="D45" s="26">
        <v>37180.70833333333</v>
      </c>
      <c r="E45" s="27"/>
      <c r="F45" s="93">
        <f>SUM(F46:F48)</f>
        <v>120</v>
      </c>
      <c r="G45" s="40"/>
      <c r="H45" s="63">
        <f>$F$5</f>
        <v>480</v>
      </c>
      <c r="I45" s="63">
        <f>F45*H45</f>
        <v>57600</v>
      </c>
      <c r="J45" s="208"/>
      <c r="K45" s="40"/>
      <c r="L45" s="40"/>
      <c r="M45" s="216"/>
      <c r="N45" s="229"/>
    </row>
    <row r="46" spans="2:14" s="2" customFormat="1" ht="12.75" hidden="1" outlineLevel="7">
      <c r="B46" s="78" t="s">
        <v>202</v>
      </c>
      <c r="C46" s="25"/>
      <c r="D46" s="26"/>
      <c r="E46" s="27"/>
      <c r="F46" s="93">
        <v>10</v>
      </c>
      <c r="G46" s="40"/>
      <c r="H46" s="63"/>
      <c r="I46" s="63"/>
      <c r="J46" s="208"/>
      <c r="K46" s="40"/>
      <c r="L46" s="40"/>
      <c r="M46" s="216"/>
      <c r="N46" s="229"/>
    </row>
    <row r="47" spans="2:14" s="2" customFormat="1" ht="12.75" hidden="1" outlineLevel="7">
      <c r="B47" s="78" t="s">
        <v>207</v>
      </c>
      <c r="C47" s="25"/>
      <c r="D47" s="26"/>
      <c r="E47" s="27"/>
      <c r="F47" s="93">
        <v>20</v>
      </c>
      <c r="G47" s="40"/>
      <c r="H47" s="63"/>
      <c r="I47" s="63"/>
      <c r="J47" s="208"/>
      <c r="K47" s="40"/>
      <c r="L47" s="40"/>
      <c r="M47" s="216"/>
      <c r="N47" s="229"/>
    </row>
    <row r="48" spans="2:14" s="2" customFormat="1" ht="12.75" hidden="1" outlineLevel="7">
      <c r="B48" s="78" t="s">
        <v>245</v>
      </c>
      <c r="C48" s="25"/>
      <c r="D48" s="26"/>
      <c r="E48" s="27"/>
      <c r="F48" s="93">
        <v>90</v>
      </c>
      <c r="G48" s="40"/>
      <c r="H48" s="63"/>
      <c r="I48" s="63"/>
      <c r="J48" s="208"/>
      <c r="K48" s="40"/>
      <c r="L48" s="40"/>
      <c r="M48" s="216"/>
      <c r="N48" s="229"/>
    </row>
    <row r="49" spans="2:14" s="2" customFormat="1" ht="12.75" hidden="1" outlineLevel="6">
      <c r="B49" s="77" t="s">
        <v>174</v>
      </c>
      <c r="C49" s="25">
        <v>36901.33333333333</v>
      </c>
      <c r="D49" s="26">
        <v>37180.70833333333</v>
      </c>
      <c r="E49" s="27"/>
      <c r="F49" s="93">
        <f>SUM(F50:F51)</f>
        <v>50</v>
      </c>
      <c r="G49" s="40"/>
      <c r="H49" s="63">
        <f>$F$4</f>
        <v>218.4</v>
      </c>
      <c r="I49" s="63">
        <f>F49*H49</f>
        <v>10920</v>
      </c>
      <c r="J49" s="208"/>
      <c r="K49" s="40"/>
      <c r="L49" s="40"/>
      <c r="M49" s="216"/>
      <c r="N49" s="229"/>
    </row>
    <row r="50" spans="2:14" s="2" customFormat="1" ht="12.75" hidden="1" outlineLevel="7">
      <c r="B50" s="78" t="s">
        <v>254</v>
      </c>
      <c r="C50" s="25"/>
      <c r="D50" s="26"/>
      <c r="E50" s="27"/>
      <c r="F50" s="93">
        <v>40</v>
      </c>
      <c r="G50" s="40"/>
      <c r="H50" s="63"/>
      <c r="I50" s="63"/>
      <c r="J50" s="208"/>
      <c r="K50" s="40"/>
      <c r="L50" s="40"/>
      <c r="M50" s="216"/>
      <c r="N50" s="229"/>
    </row>
    <row r="51" spans="2:14" s="2" customFormat="1" ht="12.75" hidden="1" outlineLevel="7">
      <c r="B51" s="78" t="s">
        <v>255</v>
      </c>
      <c r="C51" s="25"/>
      <c r="D51" s="26"/>
      <c r="E51" s="27"/>
      <c r="F51" s="93">
        <v>10</v>
      </c>
      <c r="G51" s="40"/>
      <c r="H51" s="63"/>
      <c r="I51" s="63"/>
      <c r="J51" s="208"/>
      <c r="K51" s="40"/>
      <c r="L51" s="40"/>
      <c r="M51" s="216"/>
      <c r="N51" s="229"/>
    </row>
    <row r="52" spans="1:14" s="2" customFormat="1" ht="12.75" hidden="1" outlineLevel="5">
      <c r="A52" s="2" t="s">
        <v>193</v>
      </c>
      <c r="B52" s="57" t="s">
        <v>1786</v>
      </c>
      <c r="C52" s="25">
        <v>36901.33333333333</v>
      </c>
      <c r="D52" s="26">
        <v>36984.70833333333</v>
      </c>
      <c r="E52" s="27">
        <v>60</v>
      </c>
      <c r="F52" s="93"/>
      <c r="G52" s="40">
        <v>4</v>
      </c>
      <c r="H52" s="63"/>
      <c r="I52" s="63">
        <f>G52*H55</f>
        <v>16000</v>
      </c>
      <c r="J52" s="208">
        <v>16000</v>
      </c>
      <c r="K52" s="40"/>
      <c r="L52" s="208">
        <v>30000</v>
      </c>
      <c r="M52" s="216">
        <f>L52-I52</f>
        <v>14000</v>
      </c>
      <c r="N52" s="229">
        <f>L52</f>
        <v>30000</v>
      </c>
    </row>
    <row r="53" spans="2:14" s="2" customFormat="1" ht="12.75" hidden="1" outlineLevel="6">
      <c r="B53" s="77" t="s">
        <v>250</v>
      </c>
      <c r="C53" s="25">
        <v>36901.33333333333</v>
      </c>
      <c r="D53" s="26">
        <v>36984.70833333333</v>
      </c>
      <c r="E53" s="27"/>
      <c r="F53" s="93" t="s">
        <v>227</v>
      </c>
      <c r="G53" s="40"/>
      <c r="H53" s="63">
        <v>2000</v>
      </c>
      <c r="I53" s="63" t="s">
        <v>227</v>
      </c>
      <c r="J53" s="208"/>
      <c r="K53" s="40"/>
      <c r="L53" s="40"/>
      <c r="N53" s="229"/>
    </row>
    <row r="54" spans="2:14" s="2" customFormat="1" ht="12.75" hidden="1" outlineLevel="6">
      <c r="B54" s="77" t="s">
        <v>234</v>
      </c>
      <c r="C54" s="25"/>
      <c r="D54" s="26"/>
      <c r="E54" s="27"/>
      <c r="F54" s="93"/>
      <c r="G54" s="40"/>
      <c r="H54" s="63">
        <v>2000</v>
      </c>
      <c r="I54" s="63"/>
      <c r="J54" s="208"/>
      <c r="K54" s="40"/>
      <c r="L54" s="40"/>
      <c r="M54" s="208">
        <f>L54-I54</f>
        <v>0</v>
      </c>
      <c r="N54" s="229"/>
    </row>
    <row r="55" spans="2:14" s="2" customFormat="1" ht="12.75" hidden="1" outlineLevel="6">
      <c r="B55" s="77" t="s">
        <v>237</v>
      </c>
      <c r="C55" s="25"/>
      <c r="D55" s="26"/>
      <c r="E55" s="27"/>
      <c r="F55" s="93"/>
      <c r="G55" s="40"/>
      <c r="H55" s="63">
        <f>SUM(H53:H54)</f>
        <v>4000</v>
      </c>
      <c r="I55" s="63"/>
      <c r="J55" s="208"/>
      <c r="K55" s="40"/>
      <c r="L55" s="40"/>
      <c r="M55" s="208">
        <f>L55-I55</f>
        <v>0</v>
      </c>
      <c r="N55" s="229"/>
    </row>
    <row r="56" spans="1:14" s="5" customFormat="1" ht="12.75" hidden="1" outlineLevel="4">
      <c r="A56" s="5" t="s">
        <v>194</v>
      </c>
      <c r="B56" s="56" t="s">
        <v>1787</v>
      </c>
      <c r="C56" s="22">
        <v>37288.33333333333</v>
      </c>
      <c r="D56" s="23">
        <v>37455.70833333333</v>
      </c>
      <c r="E56" s="24">
        <v>120</v>
      </c>
      <c r="F56" s="97">
        <f>F57</f>
        <v>114</v>
      </c>
      <c r="G56" s="46"/>
      <c r="H56" s="62"/>
      <c r="I56" s="62">
        <v>47024</v>
      </c>
      <c r="J56" s="62">
        <v>47024</v>
      </c>
      <c r="K56" s="46"/>
      <c r="L56" s="62">
        <f>L57+L63</f>
        <v>70000</v>
      </c>
      <c r="M56" s="216">
        <f>L56-I56</f>
        <v>22976</v>
      </c>
      <c r="N56" s="233"/>
    </row>
    <row r="57" spans="1:14" s="2" customFormat="1" ht="12.75" hidden="1" outlineLevel="5">
      <c r="A57" s="2" t="s">
        <v>195</v>
      </c>
      <c r="B57" s="57" t="s">
        <v>1788</v>
      </c>
      <c r="C57" s="25">
        <v>37288.33333333333</v>
      </c>
      <c r="D57" s="26">
        <v>37455.70833333333</v>
      </c>
      <c r="E57" s="27">
        <v>120</v>
      </c>
      <c r="F57" s="93">
        <v>114</v>
      </c>
      <c r="G57" s="40"/>
      <c r="H57" s="63"/>
      <c r="I57" s="63">
        <f>I58+I62</f>
        <v>39504</v>
      </c>
      <c r="J57" s="63">
        <v>39504</v>
      </c>
      <c r="K57" s="40"/>
      <c r="L57" s="208">
        <v>50000</v>
      </c>
      <c r="M57" s="216"/>
      <c r="N57" s="229">
        <v>50011.29</v>
      </c>
    </row>
    <row r="58" spans="2:14" s="2" customFormat="1" ht="12.75" hidden="1" outlineLevel="6">
      <c r="B58" s="77" t="s">
        <v>1780</v>
      </c>
      <c r="C58" s="25">
        <v>37288.33333333333</v>
      </c>
      <c r="D58" s="26">
        <v>37455.70833333333</v>
      </c>
      <c r="E58" s="27"/>
      <c r="F58" s="93">
        <f>SUM(F59:F61)</f>
        <v>55</v>
      </c>
      <c r="G58" s="40"/>
      <c r="H58" s="63">
        <f>$F$5</f>
        <v>480</v>
      </c>
      <c r="I58" s="63">
        <f>F58*H58</f>
        <v>26400</v>
      </c>
      <c r="J58" s="63">
        <v>26400</v>
      </c>
      <c r="K58" s="40"/>
      <c r="L58" s="208"/>
      <c r="M58" s="216"/>
      <c r="N58" s="229"/>
    </row>
    <row r="59" spans="2:14" s="2" customFormat="1" ht="12.75" hidden="1" outlineLevel="7">
      <c r="B59" s="78" t="s">
        <v>256</v>
      </c>
      <c r="C59" s="25"/>
      <c r="D59" s="26"/>
      <c r="E59" s="27"/>
      <c r="F59" s="93">
        <v>10</v>
      </c>
      <c r="G59" s="40"/>
      <c r="H59" s="63"/>
      <c r="I59" s="63"/>
      <c r="J59" s="63"/>
      <c r="K59" s="40"/>
      <c r="L59" s="208"/>
      <c r="M59" s="216"/>
      <c r="N59" s="229"/>
    </row>
    <row r="60" spans="2:14" s="2" customFormat="1" ht="12.75" hidden="1" outlineLevel="7">
      <c r="B60" s="78" t="s">
        <v>257</v>
      </c>
      <c r="C60" s="25"/>
      <c r="D60" s="26"/>
      <c r="E60" s="27"/>
      <c r="F60" s="93">
        <v>5</v>
      </c>
      <c r="G60" s="40"/>
      <c r="H60" s="63"/>
      <c r="I60" s="63"/>
      <c r="J60" s="63"/>
      <c r="K60" s="40"/>
      <c r="L60" s="208"/>
      <c r="M60" s="216"/>
      <c r="N60" s="229"/>
    </row>
    <row r="61" spans="2:14" s="2" customFormat="1" ht="12.75" hidden="1" outlineLevel="7">
      <c r="B61" s="78" t="s">
        <v>245</v>
      </c>
      <c r="C61" s="25"/>
      <c r="D61" s="26"/>
      <c r="E61" s="27"/>
      <c r="F61" s="93">
        <v>40</v>
      </c>
      <c r="G61" s="40"/>
      <c r="H61" s="63"/>
      <c r="I61" s="63"/>
      <c r="J61" s="63"/>
      <c r="K61" s="40"/>
      <c r="L61" s="208"/>
      <c r="M61" s="216"/>
      <c r="N61" s="229"/>
    </row>
    <row r="62" spans="2:14" s="2" customFormat="1" ht="12.75" hidden="1" outlineLevel="6">
      <c r="B62" s="77" t="s">
        <v>174</v>
      </c>
      <c r="C62" s="25">
        <v>37288.33333333333</v>
      </c>
      <c r="D62" s="26">
        <v>37455.70833333333</v>
      </c>
      <c r="E62" s="27"/>
      <c r="F62" s="93">
        <v>60</v>
      </c>
      <c r="G62" s="40"/>
      <c r="H62" s="63">
        <f>$F$4</f>
        <v>218.4</v>
      </c>
      <c r="I62" s="63">
        <f>F62*H62</f>
        <v>13104</v>
      </c>
      <c r="J62" s="63">
        <v>13104</v>
      </c>
      <c r="K62" s="40"/>
      <c r="L62" s="208"/>
      <c r="M62" s="216"/>
      <c r="N62" s="229"/>
    </row>
    <row r="63" spans="1:14" s="2" customFormat="1" ht="12.75" hidden="1" outlineLevel="5">
      <c r="A63" s="2" t="s">
        <v>196</v>
      </c>
      <c r="B63" s="57" t="s">
        <v>1789</v>
      </c>
      <c r="C63" s="25">
        <v>37288.33333333333</v>
      </c>
      <c r="D63" s="26">
        <v>37455.70833333333</v>
      </c>
      <c r="E63" s="27">
        <v>120</v>
      </c>
      <c r="F63" s="93" t="s">
        <v>227</v>
      </c>
      <c r="G63" s="40">
        <v>2</v>
      </c>
      <c r="H63" s="63"/>
      <c r="I63" s="63">
        <f>G63*H66</f>
        <v>8000</v>
      </c>
      <c r="J63" s="63">
        <v>8000</v>
      </c>
      <c r="K63" s="40"/>
      <c r="L63" s="208">
        <v>20000</v>
      </c>
      <c r="M63" s="216">
        <f>L63-I63</f>
        <v>12000</v>
      </c>
      <c r="N63" s="229">
        <f>L63</f>
        <v>20000</v>
      </c>
    </row>
    <row r="64" spans="2:14" s="2" customFormat="1" ht="12.75" hidden="1" outlineLevel="6">
      <c r="B64" s="77" t="s">
        <v>250</v>
      </c>
      <c r="C64" s="25">
        <v>36901.33333333333</v>
      </c>
      <c r="D64" s="26">
        <v>36984.70833333333</v>
      </c>
      <c r="E64" s="27"/>
      <c r="F64" s="93" t="s">
        <v>227</v>
      </c>
      <c r="G64" s="40"/>
      <c r="H64" s="63">
        <v>2000</v>
      </c>
      <c r="I64" s="63" t="s">
        <v>227</v>
      </c>
      <c r="J64" s="208"/>
      <c r="K64" s="40"/>
      <c r="L64" s="40"/>
      <c r="N64" s="229"/>
    </row>
    <row r="65" spans="2:14" s="2" customFormat="1" ht="12.75" hidden="1" outlineLevel="6">
      <c r="B65" s="77" t="s">
        <v>234</v>
      </c>
      <c r="C65" s="25"/>
      <c r="D65" s="26"/>
      <c r="E65" s="27"/>
      <c r="F65" s="93"/>
      <c r="G65" s="40"/>
      <c r="H65" s="63">
        <v>2000</v>
      </c>
      <c r="I65" s="63"/>
      <c r="J65" s="208"/>
      <c r="K65" s="40"/>
      <c r="L65" s="40"/>
      <c r="M65" s="216" t="s">
        <v>227</v>
      </c>
      <c r="N65" s="229"/>
    </row>
    <row r="66" spans="2:14" s="2" customFormat="1" ht="12.75" hidden="1" outlineLevel="6">
      <c r="B66" s="77" t="s">
        <v>237</v>
      </c>
      <c r="C66" s="25"/>
      <c r="D66" s="26"/>
      <c r="E66" s="27"/>
      <c r="F66" s="93"/>
      <c r="G66" s="40"/>
      <c r="H66" s="63">
        <f>SUM(H64:H65)</f>
        <v>4000</v>
      </c>
      <c r="I66" s="63"/>
      <c r="J66" s="208"/>
      <c r="K66" s="40"/>
      <c r="L66" s="40"/>
      <c r="M66" s="216" t="s">
        <v>227</v>
      </c>
      <c r="N66" s="229"/>
    </row>
    <row r="67" spans="1:14" s="5" customFormat="1" ht="12.75" hidden="1" outlineLevel="4">
      <c r="A67" s="5" t="s">
        <v>197</v>
      </c>
      <c r="B67" s="56" t="s">
        <v>1790</v>
      </c>
      <c r="C67" s="22">
        <v>37501.33333333333</v>
      </c>
      <c r="D67" s="23">
        <v>37795.70833333333</v>
      </c>
      <c r="E67" s="24">
        <v>200</v>
      </c>
      <c r="F67" s="97"/>
      <c r="G67" s="47"/>
      <c r="H67" s="62"/>
      <c r="I67" s="62">
        <f>I68+I76</f>
        <v>478912</v>
      </c>
      <c r="J67" s="207">
        <f>SUM(J68:J83)</f>
        <v>350392</v>
      </c>
      <c r="K67" s="46">
        <f>K68</f>
        <v>65</v>
      </c>
      <c r="L67" s="207">
        <f>L68+L76+L81+L83</f>
        <v>446340</v>
      </c>
      <c r="M67" s="216">
        <f>L67-I67</f>
        <v>-32572</v>
      </c>
      <c r="N67" s="233"/>
    </row>
    <row r="68" spans="1:15" s="2" customFormat="1" ht="12.75" hidden="1" outlineLevel="5">
      <c r="A68" s="2" t="s">
        <v>198</v>
      </c>
      <c r="B68" s="57" t="s">
        <v>1791</v>
      </c>
      <c r="C68" s="25">
        <v>37501.33333333333</v>
      </c>
      <c r="D68" s="26">
        <v>37795.70833333333</v>
      </c>
      <c r="E68" s="27">
        <v>200</v>
      </c>
      <c r="F68" s="93" t="s">
        <v>227</v>
      </c>
      <c r="G68" s="48">
        <v>172</v>
      </c>
      <c r="H68" s="63">
        <f>H75</f>
        <v>2500</v>
      </c>
      <c r="I68" s="63">
        <f>G68*H68</f>
        <v>430000</v>
      </c>
      <c r="J68" s="208">
        <v>264330</v>
      </c>
      <c r="K68" s="40">
        <f>'Cost 5_02'!C37+'Cost 5_02'!C38</f>
        <v>65</v>
      </c>
      <c r="L68" s="208">
        <f>K68*$K$9</f>
        <v>333190</v>
      </c>
      <c r="M68" s="216"/>
      <c r="N68" s="229">
        <f>L68</f>
        <v>333190</v>
      </c>
      <c r="O68" s="2">
        <v>288360</v>
      </c>
    </row>
    <row r="69" spans="2:14" s="2" customFormat="1" ht="12.75" hidden="1" outlineLevel="6">
      <c r="B69" s="77" t="s">
        <v>261</v>
      </c>
      <c r="C69" s="25"/>
      <c r="D69" s="26"/>
      <c r="E69" s="27"/>
      <c r="F69" s="93"/>
      <c r="G69" s="48"/>
      <c r="H69" s="63">
        <v>1000</v>
      </c>
      <c r="I69" s="63"/>
      <c r="J69" s="208"/>
      <c r="K69" s="40"/>
      <c r="L69" s="40"/>
      <c r="M69" s="216"/>
      <c r="N69" s="229"/>
    </row>
    <row r="70" spans="2:14" s="2" customFormat="1" ht="12.75" hidden="1" outlineLevel="6">
      <c r="B70" s="77" t="s">
        <v>262</v>
      </c>
      <c r="C70" s="25"/>
      <c r="D70" s="26"/>
      <c r="E70" s="27"/>
      <c r="F70" s="93"/>
      <c r="G70" s="48"/>
      <c r="H70" s="63">
        <v>200</v>
      </c>
      <c r="I70" s="63"/>
      <c r="J70" s="208"/>
      <c r="K70" s="40"/>
      <c r="L70" s="40"/>
      <c r="M70" s="216"/>
      <c r="N70" s="229"/>
    </row>
    <row r="71" spans="2:14" s="2" customFormat="1" ht="12.75" hidden="1" outlineLevel="6">
      <c r="B71" s="77" t="s">
        <v>263</v>
      </c>
      <c r="C71" s="25"/>
      <c r="D71" s="26"/>
      <c r="E71" s="27"/>
      <c r="F71" s="93"/>
      <c r="G71" s="48"/>
      <c r="H71" s="63">
        <v>200</v>
      </c>
      <c r="I71" s="63"/>
      <c r="J71" s="208"/>
      <c r="K71" s="40"/>
      <c r="L71" s="40"/>
      <c r="M71" s="216"/>
      <c r="N71" s="229"/>
    </row>
    <row r="72" spans="2:14" s="2" customFormat="1" ht="12.75" hidden="1" outlineLevel="6">
      <c r="B72" s="77" t="s">
        <v>264</v>
      </c>
      <c r="C72" s="25"/>
      <c r="D72" s="26"/>
      <c r="E72" s="27"/>
      <c r="F72" s="93"/>
      <c r="G72" s="48"/>
      <c r="H72" s="63">
        <v>500</v>
      </c>
      <c r="I72" s="63"/>
      <c r="J72" s="208"/>
      <c r="K72" s="40"/>
      <c r="L72" s="40"/>
      <c r="M72" s="216"/>
      <c r="N72" s="229"/>
    </row>
    <row r="73" spans="2:14" s="2" customFormat="1" ht="12.75" hidden="1" outlineLevel="6">
      <c r="B73" s="77" t="s">
        <v>230</v>
      </c>
      <c r="C73" s="25"/>
      <c r="D73" s="26"/>
      <c r="E73" s="27"/>
      <c r="F73" s="93"/>
      <c r="G73" s="48"/>
      <c r="H73" s="63">
        <v>200</v>
      </c>
      <c r="I73" s="63"/>
      <c r="J73" s="208"/>
      <c r="K73" s="40"/>
      <c r="L73" s="40"/>
      <c r="M73" s="216"/>
      <c r="N73" s="229"/>
    </row>
    <row r="74" spans="2:14" s="2" customFormat="1" ht="12.75" hidden="1" outlineLevel="6">
      <c r="B74" s="77" t="s">
        <v>265</v>
      </c>
      <c r="C74" s="25"/>
      <c r="D74" s="26"/>
      <c r="E74" s="27"/>
      <c r="F74" s="93"/>
      <c r="G74" s="48"/>
      <c r="H74" s="63">
        <v>400</v>
      </c>
      <c r="I74" s="63"/>
      <c r="J74" s="208"/>
      <c r="K74" s="40"/>
      <c r="L74" s="40"/>
      <c r="M74" s="216"/>
      <c r="N74" s="229"/>
    </row>
    <row r="75" spans="2:14" s="2" customFormat="1" ht="12.75" hidden="1" outlineLevel="6">
      <c r="B75" s="77" t="s">
        <v>237</v>
      </c>
      <c r="C75" s="25"/>
      <c r="D75" s="26"/>
      <c r="E75" s="27"/>
      <c r="F75" s="93"/>
      <c r="G75" s="48"/>
      <c r="H75" s="63">
        <f>SUM(H69:H74)</f>
        <v>2500</v>
      </c>
      <c r="I75" s="63"/>
      <c r="J75" s="208"/>
      <c r="K75" s="40"/>
      <c r="L75" s="40"/>
      <c r="M75" s="216"/>
      <c r="N75" s="229"/>
    </row>
    <row r="76" spans="1:14" s="2" customFormat="1" ht="12.75" hidden="1" outlineLevel="5">
      <c r="A76" s="2" t="s">
        <v>199</v>
      </c>
      <c r="B76" s="57" t="s">
        <v>1792</v>
      </c>
      <c r="C76" s="25">
        <v>37501.33333333333</v>
      </c>
      <c r="D76" s="26">
        <v>37655.70833333333</v>
      </c>
      <c r="E76" s="27">
        <v>100</v>
      </c>
      <c r="F76" s="93">
        <v>200</v>
      </c>
      <c r="G76" s="40"/>
      <c r="H76" s="63"/>
      <c r="I76" s="63">
        <v>48912</v>
      </c>
      <c r="J76" s="63">
        <v>48912</v>
      </c>
      <c r="K76" s="40"/>
      <c r="L76" s="208">
        <v>110000</v>
      </c>
      <c r="M76" s="216"/>
      <c r="N76" s="229">
        <f>L76</f>
        <v>110000</v>
      </c>
    </row>
    <row r="77" spans="2:14" s="2" customFormat="1" ht="12.75" hidden="1" outlineLevel="6">
      <c r="B77" s="77" t="s">
        <v>1780</v>
      </c>
      <c r="C77" s="25">
        <v>37501.33333333333</v>
      </c>
      <c r="D77" s="26">
        <v>37655.70833333333</v>
      </c>
      <c r="E77" s="27"/>
      <c r="F77" s="93">
        <f>F78</f>
        <v>20</v>
      </c>
      <c r="G77" s="40"/>
      <c r="H77" s="63">
        <f>$F$5</f>
        <v>480</v>
      </c>
      <c r="I77" s="63">
        <f>F77*H77</f>
        <v>9600</v>
      </c>
      <c r="J77" s="208"/>
      <c r="K77" s="40"/>
      <c r="L77" s="208"/>
      <c r="M77" s="216"/>
      <c r="N77" s="229"/>
    </row>
    <row r="78" spans="2:14" s="2" customFormat="1" ht="12.75" hidden="1" outlineLevel="7">
      <c r="B78" s="78" t="s">
        <v>258</v>
      </c>
      <c r="C78" s="25"/>
      <c r="D78" s="26"/>
      <c r="E78" s="27"/>
      <c r="F78" s="93">
        <v>20</v>
      </c>
      <c r="G78" s="40"/>
      <c r="H78" s="84"/>
      <c r="I78" s="63"/>
      <c r="J78" s="208"/>
      <c r="K78" s="40"/>
      <c r="L78" s="208"/>
      <c r="M78" s="216"/>
      <c r="N78" s="229"/>
    </row>
    <row r="79" spans="2:14" s="2" customFormat="1" ht="12.75" hidden="1" outlineLevel="6">
      <c r="B79" s="77" t="s">
        <v>260</v>
      </c>
      <c r="C79" s="25">
        <v>37501.33333333333</v>
      </c>
      <c r="D79" s="26">
        <v>37655.70833333333</v>
      </c>
      <c r="E79" s="27"/>
      <c r="F79" s="93">
        <f>F80</f>
        <v>180</v>
      </c>
      <c r="G79" s="40"/>
      <c r="H79" s="63">
        <f>$F$4</f>
        <v>218.4</v>
      </c>
      <c r="I79" s="63">
        <f>F79*H79</f>
        <v>39312</v>
      </c>
      <c r="J79" s="208"/>
      <c r="K79" s="40"/>
      <c r="L79" s="208"/>
      <c r="M79" s="216"/>
      <c r="N79" s="229"/>
    </row>
    <row r="80" spans="2:14" s="2" customFormat="1" ht="12.75" hidden="1" outlineLevel="7">
      <c r="B80" s="78" t="s">
        <v>259</v>
      </c>
      <c r="C80" s="25"/>
      <c r="D80" s="26"/>
      <c r="E80" s="27"/>
      <c r="F80" s="93">
        <v>180</v>
      </c>
      <c r="G80" s="40"/>
      <c r="H80" s="63"/>
      <c r="I80" s="63"/>
      <c r="J80" s="208"/>
      <c r="K80" s="40"/>
      <c r="L80" s="208"/>
      <c r="M80" s="216"/>
      <c r="N80" s="229"/>
    </row>
    <row r="81" spans="1:14" s="2" customFormat="1" ht="12.75" hidden="1" outlineLevel="5">
      <c r="A81" s="2" t="s">
        <v>200</v>
      </c>
      <c r="B81" s="57" t="s">
        <v>1793</v>
      </c>
      <c r="C81" s="25">
        <v>37656.33333333333</v>
      </c>
      <c r="D81" s="26">
        <v>37669.70833333333</v>
      </c>
      <c r="E81" s="27">
        <v>10</v>
      </c>
      <c r="F81" s="93" t="s">
        <v>227</v>
      </c>
      <c r="G81" s="40"/>
      <c r="H81" s="63"/>
      <c r="I81" s="63" t="s">
        <v>227</v>
      </c>
      <c r="J81" s="208">
        <v>3150</v>
      </c>
      <c r="K81" s="40"/>
      <c r="L81" s="208">
        <f>J81</f>
        <v>3150</v>
      </c>
      <c r="M81" s="216"/>
      <c r="N81" s="229">
        <f>L81</f>
        <v>3150</v>
      </c>
    </row>
    <row r="82" spans="2:14" s="2" customFormat="1" ht="12.75" hidden="1" outlineLevel="6">
      <c r="B82" s="77" t="s">
        <v>266</v>
      </c>
      <c r="C82" s="25">
        <v>37656.33333333333</v>
      </c>
      <c r="D82" s="26">
        <v>37669.70833333333</v>
      </c>
      <c r="E82" s="27"/>
      <c r="F82" s="93">
        <v>210</v>
      </c>
      <c r="G82" s="40"/>
      <c r="H82" s="63"/>
      <c r="I82" s="63" t="s">
        <v>227</v>
      </c>
      <c r="J82" s="208"/>
      <c r="K82" s="40"/>
      <c r="L82" s="208"/>
      <c r="M82" s="216"/>
      <c r="N82" s="229"/>
    </row>
    <row r="83" spans="1:14" s="2" customFormat="1" ht="12.75" hidden="1" outlineLevel="5">
      <c r="A83" s="2" t="s">
        <v>201</v>
      </c>
      <c r="B83" s="57" t="s">
        <v>1795</v>
      </c>
      <c r="C83" s="25">
        <v>37501.33333333333</v>
      </c>
      <c r="D83" s="26">
        <v>37526.70833333333</v>
      </c>
      <c r="E83" s="27">
        <v>20</v>
      </c>
      <c r="F83" s="93">
        <v>340</v>
      </c>
      <c r="G83" s="40"/>
      <c r="H83" s="63"/>
      <c r="I83" s="63" t="s">
        <v>227</v>
      </c>
      <c r="J83" s="208">
        <v>34000</v>
      </c>
      <c r="K83" s="40"/>
      <c r="L83" s="208">
        <v>0</v>
      </c>
      <c r="M83" s="216"/>
      <c r="N83" s="229">
        <f>L83</f>
        <v>0</v>
      </c>
    </row>
    <row r="84" spans="2:14" ht="12.75" hidden="1" outlineLevel="6">
      <c r="B84" s="77" t="s">
        <v>305</v>
      </c>
      <c r="C84" s="25">
        <v>37501.33333333333</v>
      </c>
      <c r="D84" s="26">
        <v>37526.70833333333</v>
      </c>
      <c r="F84" s="93">
        <v>340</v>
      </c>
      <c r="I84" s="63" t="s">
        <v>227</v>
      </c>
      <c r="J84" s="208"/>
      <c r="N84" s="229"/>
    </row>
    <row r="85" spans="1:14" s="7" customFormat="1" ht="12.75" hidden="1" outlineLevel="3">
      <c r="A85" s="7" t="s">
        <v>1796</v>
      </c>
      <c r="B85" s="55" t="s">
        <v>1797</v>
      </c>
      <c r="C85" s="19">
        <v>35612.33333333333</v>
      </c>
      <c r="D85" s="20">
        <v>37603.70833333333</v>
      </c>
      <c r="E85" s="21">
        <v>1371</v>
      </c>
      <c r="F85" s="96">
        <f>F86+F88+F90+F117+F139+F154</f>
        <v>450</v>
      </c>
      <c r="G85" s="45"/>
      <c r="H85" s="61"/>
      <c r="I85" s="61">
        <v>308675.2</v>
      </c>
      <c r="J85" s="206"/>
      <c r="K85" s="51">
        <f>K154</f>
        <v>12</v>
      </c>
      <c r="L85" s="206">
        <f>L88+L90+L117+L139+L154</f>
        <v>351192</v>
      </c>
      <c r="M85" s="215">
        <f>L85-I85</f>
        <v>42516.79999999999</v>
      </c>
      <c r="N85" s="232"/>
    </row>
    <row r="86" spans="1:14" s="5" customFormat="1" ht="12.75" hidden="1" outlineLevel="4" collapsed="1">
      <c r="A86" s="5" t="s">
        <v>1798</v>
      </c>
      <c r="B86" s="56" t="s">
        <v>1799</v>
      </c>
      <c r="C86" s="22">
        <v>35612.33333333333</v>
      </c>
      <c r="D86" s="23">
        <v>35625.70833333333</v>
      </c>
      <c r="E86" s="24">
        <v>10</v>
      </c>
      <c r="F86" s="97">
        <f>F87</f>
        <v>10</v>
      </c>
      <c r="G86" s="46"/>
      <c r="H86" s="62"/>
      <c r="I86" s="62">
        <f>I87</f>
        <v>4228</v>
      </c>
      <c r="J86" s="207"/>
      <c r="K86" s="46"/>
      <c r="L86" s="46"/>
      <c r="M86" s="216"/>
      <c r="N86" s="233" t="s">
        <v>227</v>
      </c>
    </row>
    <row r="87" spans="1:14" ht="12.75" hidden="1" outlineLevel="6">
      <c r="A87" t="s">
        <v>227</v>
      </c>
      <c r="B87" s="77" t="s">
        <v>175</v>
      </c>
      <c r="C87" s="25">
        <v>35612.33333333333</v>
      </c>
      <c r="D87" s="26">
        <v>35625.70833333333</v>
      </c>
      <c r="F87" s="93">
        <v>10</v>
      </c>
      <c r="H87" s="63">
        <f>F8</f>
        <v>422.8</v>
      </c>
      <c r="I87" s="63">
        <f>F87*H87</f>
        <v>4228</v>
      </c>
      <c r="J87" s="208"/>
      <c r="N87" s="229"/>
    </row>
    <row r="88" spans="1:14" s="5" customFormat="1" ht="12.75" hidden="1" outlineLevel="4" collapsed="1">
      <c r="A88" s="5" t="s">
        <v>1800</v>
      </c>
      <c r="B88" s="56" t="s">
        <v>1801</v>
      </c>
      <c r="C88" s="22">
        <v>36381.33333333333</v>
      </c>
      <c r="D88" s="23">
        <v>36406.70833333333</v>
      </c>
      <c r="E88" s="24">
        <v>20</v>
      </c>
      <c r="F88" s="97">
        <f>F89</f>
        <v>10</v>
      </c>
      <c r="G88" s="46"/>
      <c r="H88" s="62"/>
      <c r="I88" s="62">
        <f>I89</f>
        <v>4228</v>
      </c>
      <c r="J88" s="207">
        <v>4228</v>
      </c>
      <c r="K88" s="46"/>
      <c r="L88" s="207">
        <f>J88</f>
        <v>4228</v>
      </c>
      <c r="M88" s="216">
        <f>L88-I88</f>
        <v>0</v>
      </c>
      <c r="N88" s="233"/>
    </row>
    <row r="89" spans="2:14" ht="12.75" hidden="1" outlineLevel="6">
      <c r="B89" s="77" t="s">
        <v>1802</v>
      </c>
      <c r="C89" s="25">
        <v>36381.33333333333</v>
      </c>
      <c r="D89" s="26">
        <v>36406.70833333333</v>
      </c>
      <c r="F89" s="93">
        <v>10</v>
      </c>
      <c r="H89" s="63">
        <f>$F$6</f>
        <v>422.8</v>
      </c>
      <c r="I89" s="63">
        <f>F89*H89</f>
        <v>4228</v>
      </c>
      <c r="J89" s="208"/>
      <c r="N89" s="229"/>
    </row>
    <row r="90" spans="1:14" s="5" customFormat="1" ht="12.75" hidden="1" outlineLevel="4" collapsed="1">
      <c r="A90" s="5" t="s">
        <v>1803</v>
      </c>
      <c r="B90" s="56" t="s">
        <v>1804</v>
      </c>
      <c r="C90" s="22">
        <v>36434.33333333333</v>
      </c>
      <c r="D90" s="23">
        <v>36692.70833333333</v>
      </c>
      <c r="E90" s="24">
        <v>175</v>
      </c>
      <c r="F90" s="97">
        <f>F91+F110</f>
        <v>210</v>
      </c>
      <c r="G90" s="46"/>
      <c r="H90" s="62"/>
      <c r="I90" s="62">
        <f>I91+I110</f>
        <v>94480</v>
      </c>
      <c r="J90" s="207">
        <f>J91+J110</f>
        <v>113480</v>
      </c>
      <c r="K90" s="46"/>
      <c r="L90" s="207">
        <f>J90</f>
        <v>113480</v>
      </c>
      <c r="M90" s="216">
        <f>L90-I90</f>
        <v>19000</v>
      </c>
      <c r="N90" s="233">
        <f>N91+N110</f>
        <v>113480</v>
      </c>
    </row>
    <row r="91" spans="1:15" ht="12.75" hidden="1" outlineLevel="5">
      <c r="A91" t="s">
        <v>1805</v>
      </c>
      <c r="B91" s="57" t="s">
        <v>1806</v>
      </c>
      <c r="C91" s="25">
        <v>36434.33333333333</v>
      </c>
      <c r="D91" s="26">
        <v>36692.70833333333</v>
      </c>
      <c r="E91" s="27">
        <v>175</v>
      </c>
      <c r="F91" s="93">
        <v>210</v>
      </c>
      <c r="I91" s="63">
        <v>74480</v>
      </c>
      <c r="J91" s="63">
        <v>74480</v>
      </c>
      <c r="L91" s="63">
        <f>J91</f>
        <v>74480</v>
      </c>
      <c r="N91" s="229">
        <f>L91</f>
        <v>74480</v>
      </c>
      <c r="O91">
        <v>56412</v>
      </c>
    </row>
    <row r="92" spans="2:14" ht="12.75" hidden="1" outlineLevel="6">
      <c r="B92" s="77" t="s">
        <v>1807</v>
      </c>
      <c r="C92" s="25">
        <v>36434.33333333333</v>
      </c>
      <c r="D92" s="26">
        <v>36692.70833333333</v>
      </c>
      <c r="F92" s="93">
        <f>F93+F98</f>
        <v>140</v>
      </c>
      <c r="H92" s="63">
        <f>$F$6</f>
        <v>422.8</v>
      </c>
      <c r="I92" s="63">
        <f>F92*H92</f>
        <v>59192</v>
      </c>
      <c r="J92" s="208"/>
      <c r="N92" s="229"/>
    </row>
    <row r="93" spans="2:14" ht="12.75" hidden="1" outlineLevel="7">
      <c r="B93" s="78" t="s">
        <v>282</v>
      </c>
      <c r="C93" s="25"/>
      <c r="F93" s="93">
        <f>SUM(F94:F97)</f>
        <v>70</v>
      </c>
      <c r="J93" s="208"/>
      <c r="N93" s="229"/>
    </row>
    <row r="94" spans="2:14" ht="12.75" hidden="1" outlineLevel="7">
      <c r="B94" s="83" t="s">
        <v>283</v>
      </c>
      <c r="C94" s="25"/>
      <c r="F94" s="93">
        <v>10</v>
      </c>
      <c r="J94" s="208"/>
      <c r="N94" s="229"/>
    </row>
    <row r="95" spans="2:14" ht="12.75" hidden="1" outlineLevel="7">
      <c r="B95" s="83" t="s">
        <v>284</v>
      </c>
      <c r="C95" s="25"/>
      <c r="F95" s="93">
        <v>40</v>
      </c>
      <c r="J95" s="208"/>
      <c r="N95" s="229"/>
    </row>
    <row r="96" spans="2:14" ht="12.75" hidden="1" outlineLevel="7">
      <c r="B96" s="83" t="s">
        <v>285</v>
      </c>
      <c r="C96" s="25"/>
      <c r="F96" s="93">
        <v>5</v>
      </c>
      <c r="J96" s="208"/>
      <c r="N96" s="229"/>
    </row>
    <row r="97" spans="2:14" ht="12.75" hidden="1" outlineLevel="7">
      <c r="B97" s="83" t="s">
        <v>210</v>
      </c>
      <c r="C97" s="25"/>
      <c r="F97" s="93">
        <v>15</v>
      </c>
      <c r="J97" s="208"/>
      <c r="N97" s="229"/>
    </row>
    <row r="98" spans="2:14" ht="12.75" hidden="1" outlineLevel="7">
      <c r="B98" s="78" t="s">
        <v>286</v>
      </c>
      <c r="C98" s="25"/>
      <c r="F98" s="93">
        <f>SUM(F99:F102)</f>
        <v>70</v>
      </c>
      <c r="J98" s="208"/>
      <c r="N98" s="229"/>
    </row>
    <row r="99" spans="2:14" ht="12.75" hidden="1" outlineLevel="7">
      <c r="B99" s="83" t="s">
        <v>283</v>
      </c>
      <c r="C99" s="25"/>
      <c r="F99" s="93">
        <v>10</v>
      </c>
      <c r="J99" s="208"/>
      <c r="N99" s="229"/>
    </row>
    <row r="100" spans="2:14" ht="12.75" hidden="1" outlineLevel="7">
      <c r="B100" s="83" t="s">
        <v>284</v>
      </c>
      <c r="C100" s="25"/>
      <c r="F100" s="93">
        <v>45</v>
      </c>
      <c r="J100" s="208"/>
      <c r="N100" s="229"/>
    </row>
    <row r="101" spans="2:14" ht="12.75" hidden="1" outlineLevel="7">
      <c r="B101" s="83" t="s">
        <v>285</v>
      </c>
      <c r="C101" s="25"/>
      <c r="F101" s="93">
        <v>5</v>
      </c>
      <c r="J101" s="208"/>
      <c r="N101" s="229"/>
    </row>
    <row r="102" spans="2:14" ht="12.75" hidden="1" outlineLevel="7">
      <c r="B102" s="83" t="s">
        <v>210</v>
      </c>
      <c r="C102" s="25"/>
      <c r="F102" s="93">
        <v>10</v>
      </c>
      <c r="J102" s="208"/>
      <c r="N102" s="229"/>
    </row>
    <row r="103" spans="2:14" ht="12.75" hidden="1" outlineLevel="6">
      <c r="B103" s="77" t="s">
        <v>1808</v>
      </c>
      <c r="C103" s="25">
        <v>36434.33333333333</v>
      </c>
      <c r="D103" s="26">
        <v>36692.70833333333</v>
      </c>
      <c r="F103" s="93">
        <f>F104+F107</f>
        <v>70</v>
      </c>
      <c r="H103" s="63">
        <f>$F$4</f>
        <v>218.4</v>
      </c>
      <c r="I103" s="63">
        <f>F103*H103</f>
        <v>15288</v>
      </c>
      <c r="J103" s="208"/>
      <c r="N103" s="229"/>
    </row>
    <row r="104" spans="2:14" ht="12.75" hidden="1" outlineLevel="7" collapsed="1">
      <c r="B104" s="78" t="s">
        <v>282</v>
      </c>
      <c r="C104" s="25"/>
      <c r="F104" s="93">
        <f>SUM(F105:F106)</f>
        <v>30</v>
      </c>
      <c r="J104" s="208"/>
      <c r="N104" s="229"/>
    </row>
    <row r="105" spans="2:14" ht="12.75" hidden="1" outlineLevel="7">
      <c r="B105" s="83" t="s">
        <v>291</v>
      </c>
      <c r="C105" s="25"/>
      <c r="F105" s="93">
        <v>15</v>
      </c>
      <c r="J105" s="208"/>
      <c r="N105" s="229"/>
    </row>
    <row r="106" spans="2:14" ht="12.75" hidden="1" outlineLevel="7">
      <c r="B106" s="83" t="s">
        <v>292</v>
      </c>
      <c r="C106" s="25"/>
      <c r="F106" s="93">
        <v>15</v>
      </c>
      <c r="J106" s="208"/>
      <c r="N106" s="229"/>
    </row>
    <row r="107" spans="2:14" ht="12.75" hidden="1" outlineLevel="7" collapsed="1">
      <c r="B107" s="78" t="s">
        <v>286</v>
      </c>
      <c r="C107" s="25"/>
      <c r="F107" s="93">
        <f>SUM(F108:F109)</f>
        <v>40</v>
      </c>
      <c r="J107" s="208"/>
      <c r="N107" s="229"/>
    </row>
    <row r="108" spans="2:14" ht="12.75" hidden="1" outlineLevel="7">
      <c r="B108" s="83" t="s">
        <v>291</v>
      </c>
      <c r="C108" s="25"/>
      <c r="F108" s="93">
        <v>20</v>
      </c>
      <c r="J108" s="208"/>
      <c r="N108" s="229"/>
    </row>
    <row r="109" spans="2:14" ht="12.75" hidden="1" outlineLevel="7">
      <c r="B109" s="83" t="s">
        <v>292</v>
      </c>
      <c r="C109" s="25"/>
      <c r="F109" s="93">
        <v>20</v>
      </c>
      <c r="J109" s="208"/>
      <c r="N109" s="229"/>
    </row>
    <row r="110" spans="1:14" ht="12.75" hidden="1" outlineLevel="5">
      <c r="A110" t="s">
        <v>1809</v>
      </c>
      <c r="B110" s="57" t="s">
        <v>1810</v>
      </c>
      <c r="C110" s="25">
        <v>36434.33333333333</v>
      </c>
      <c r="D110" s="26">
        <v>36531.70833333333</v>
      </c>
      <c r="E110" s="27">
        <v>60</v>
      </c>
      <c r="I110" s="63">
        <f>H111+H116</f>
        <v>20000</v>
      </c>
      <c r="J110" s="208">
        <v>39000</v>
      </c>
      <c r="L110" s="208">
        <f>J110</f>
        <v>39000</v>
      </c>
      <c r="N110" s="229">
        <f>L110</f>
        <v>39000</v>
      </c>
    </row>
    <row r="111" spans="2:14" ht="12.75" hidden="1" outlineLevel="6">
      <c r="B111" s="77" t="s">
        <v>293</v>
      </c>
      <c r="C111" s="25"/>
      <c r="F111" s="93">
        <v>3</v>
      </c>
      <c r="H111" s="63">
        <f>F111*H115</f>
        <v>18000</v>
      </c>
      <c r="J111" s="208"/>
      <c r="N111" s="229"/>
    </row>
    <row r="112" spans="2:14" ht="12.75" hidden="1" outlineLevel="7">
      <c r="B112" s="78" t="s">
        <v>294</v>
      </c>
      <c r="C112" s="25"/>
      <c r="H112" s="63">
        <v>2000</v>
      </c>
      <c r="J112" s="208"/>
      <c r="N112" s="229"/>
    </row>
    <row r="113" spans="2:14" ht="12.75" hidden="1" outlineLevel="7">
      <c r="B113" s="78" t="s">
        <v>295</v>
      </c>
      <c r="C113" s="25"/>
      <c r="H113" s="63">
        <v>2000</v>
      </c>
      <c r="J113" s="208"/>
      <c r="N113" s="229"/>
    </row>
    <row r="114" spans="2:14" ht="12.75" hidden="1" outlineLevel="7">
      <c r="B114" s="78" t="s">
        <v>286</v>
      </c>
      <c r="C114" s="25"/>
      <c r="H114" s="63">
        <v>2000</v>
      </c>
      <c r="J114" s="208"/>
      <c r="N114" s="229"/>
    </row>
    <row r="115" spans="2:14" ht="12.75" hidden="1" outlineLevel="7">
      <c r="B115" s="78" t="s">
        <v>237</v>
      </c>
      <c r="C115" s="25">
        <v>36434.33333333333</v>
      </c>
      <c r="D115" s="26">
        <v>36531.70833333333</v>
      </c>
      <c r="F115" s="93" t="s">
        <v>227</v>
      </c>
      <c r="H115" s="63">
        <f>SUM(H112:H114)</f>
        <v>6000</v>
      </c>
      <c r="I115" s="63" t="s">
        <v>227</v>
      </c>
      <c r="J115" s="208"/>
      <c r="N115" s="229"/>
    </row>
    <row r="116" spans="2:14" ht="12.75" hidden="1" outlineLevel="6">
      <c r="B116" s="77" t="s">
        <v>296</v>
      </c>
      <c r="C116" s="25"/>
      <c r="H116" s="63">
        <v>2000</v>
      </c>
      <c r="J116" s="208"/>
      <c r="N116" s="229"/>
    </row>
    <row r="117" spans="1:14" s="5" customFormat="1" ht="12.75" hidden="1" outlineLevel="4" collapsed="1">
      <c r="A117" s="5" t="s">
        <v>1811</v>
      </c>
      <c r="B117" s="56" t="s">
        <v>1812</v>
      </c>
      <c r="C117" s="22">
        <v>36901.33333333333</v>
      </c>
      <c r="D117" s="23">
        <v>37180.70833333333</v>
      </c>
      <c r="E117" s="24">
        <v>200</v>
      </c>
      <c r="F117" s="97">
        <f>F118+F137</f>
        <v>100</v>
      </c>
      <c r="G117" s="46"/>
      <c r="H117" s="62"/>
      <c r="I117" s="62">
        <v>52060</v>
      </c>
      <c r="J117" s="207">
        <v>52060</v>
      </c>
      <c r="K117" s="46"/>
      <c r="L117" s="207">
        <f>L118+L137</f>
        <v>73200</v>
      </c>
      <c r="M117" s="216">
        <f>L117-I117</f>
        <v>21140</v>
      </c>
      <c r="N117" s="233">
        <f>N118+N137</f>
        <v>73200</v>
      </c>
    </row>
    <row r="118" spans="1:14" ht="12.75" hidden="1" outlineLevel="5">
      <c r="A118" t="s">
        <v>1813</v>
      </c>
      <c r="B118" s="57" t="s">
        <v>1814</v>
      </c>
      <c r="C118" s="25">
        <v>36901.33333333333</v>
      </c>
      <c r="D118" s="26">
        <v>37180.70833333333</v>
      </c>
      <c r="E118" s="27">
        <v>200</v>
      </c>
      <c r="F118" s="93">
        <v>100</v>
      </c>
      <c r="I118" s="63">
        <f>I119+I130</f>
        <v>32060</v>
      </c>
      <c r="J118" s="63">
        <v>32060</v>
      </c>
      <c r="L118" s="208">
        <f>L119+L130</f>
        <v>53200</v>
      </c>
      <c r="N118" s="229">
        <f>L118</f>
        <v>53200</v>
      </c>
    </row>
    <row r="119" spans="2:14" ht="12.75" hidden="1" outlineLevel="6">
      <c r="B119" s="77" t="s">
        <v>288</v>
      </c>
      <c r="C119" s="25">
        <v>36901.33333333333</v>
      </c>
      <c r="D119" s="26">
        <v>37180.70833333333</v>
      </c>
      <c r="F119" s="93">
        <f>F120+F124</f>
        <v>50</v>
      </c>
      <c r="H119" s="63">
        <f>$F$6</f>
        <v>422.8</v>
      </c>
      <c r="I119" s="63">
        <f>F119*H119</f>
        <v>21140</v>
      </c>
      <c r="J119" s="63">
        <v>21140</v>
      </c>
      <c r="L119" s="208">
        <v>42280</v>
      </c>
      <c r="N119" s="229"/>
    </row>
    <row r="120" spans="2:14" ht="12.75" hidden="1" outlineLevel="7" collapsed="1">
      <c r="B120" s="78" t="s">
        <v>294</v>
      </c>
      <c r="C120" s="25"/>
      <c r="F120" s="93">
        <f>SUM(F121:F123)</f>
        <v>15</v>
      </c>
      <c r="J120" s="63"/>
      <c r="L120" s="208"/>
      <c r="N120" s="229"/>
    </row>
    <row r="121" spans="2:14" ht="12.75" hidden="1" outlineLevel="7">
      <c r="B121" s="83" t="s">
        <v>284</v>
      </c>
      <c r="C121" s="25"/>
      <c r="F121" s="93">
        <v>5</v>
      </c>
      <c r="J121" s="63"/>
      <c r="L121" s="208"/>
      <c r="N121" s="229"/>
    </row>
    <row r="122" spans="2:14" ht="12.75" hidden="1" outlineLevel="7">
      <c r="B122" s="83" t="s">
        <v>285</v>
      </c>
      <c r="C122" s="25"/>
      <c r="F122" s="93">
        <v>5</v>
      </c>
      <c r="J122" s="63"/>
      <c r="L122" s="208"/>
      <c r="N122" s="229"/>
    </row>
    <row r="123" spans="2:14" ht="12.75" hidden="1" outlineLevel="7">
      <c r="B123" s="83" t="s">
        <v>210</v>
      </c>
      <c r="C123" s="25"/>
      <c r="F123" s="93">
        <v>5</v>
      </c>
      <c r="J123" s="63"/>
      <c r="L123" s="208"/>
      <c r="N123" s="229"/>
    </row>
    <row r="124" spans="2:14" ht="12.75" hidden="1" outlineLevel="7" collapsed="1">
      <c r="B124" s="78" t="s">
        <v>286</v>
      </c>
      <c r="C124" s="25"/>
      <c r="F124" s="93">
        <f>SUM(F125:F129)</f>
        <v>35</v>
      </c>
      <c r="J124" s="63"/>
      <c r="L124" s="208"/>
      <c r="N124" s="229"/>
    </row>
    <row r="125" spans="2:14" ht="12.75" hidden="1" outlineLevel="7">
      <c r="B125" s="83" t="s">
        <v>297</v>
      </c>
      <c r="C125" s="25"/>
      <c r="F125" s="93">
        <v>5</v>
      </c>
      <c r="J125" s="63"/>
      <c r="L125" s="208"/>
      <c r="N125" s="229"/>
    </row>
    <row r="126" spans="2:14" ht="12.75" hidden="1" outlineLevel="7">
      <c r="B126" s="83" t="s">
        <v>285</v>
      </c>
      <c r="C126" s="25"/>
      <c r="F126" s="93">
        <v>5</v>
      </c>
      <c r="J126" s="63"/>
      <c r="L126" s="208"/>
      <c r="N126" s="229"/>
    </row>
    <row r="127" spans="2:14" ht="12.75" hidden="1" outlineLevel="7">
      <c r="B127" s="83" t="s">
        <v>298</v>
      </c>
      <c r="C127" s="25"/>
      <c r="F127" s="93">
        <v>10</v>
      </c>
      <c r="J127" s="63"/>
      <c r="L127" s="208"/>
      <c r="N127" s="229"/>
    </row>
    <row r="128" spans="2:14" ht="12.75" hidden="1" outlineLevel="7">
      <c r="B128" s="83" t="s">
        <v>299</v>
      </c>
      <c r="C128" s="25"/>
      <c r="F128" s="93">
        <v>5</v>
      </c>
      <c r="J128" s="63"/>
      <c r="L128" s="208"/>
      <c r="N128" s="229"/>
    </row>
    <row r="129" spans="2:14" ht="12.75" hidden="1" outlineLevel="7">
      <c r="B129" s="83" t="s">
        <v>210</v>
      </c>
      <c r="C129" s="25"/>
      <c r="F129" s="93">
        <v>10</v>
      </c>
      <c r="J129" s="63"/>
      <c r="L129" s="208"/>
      <c r="N129" s="229"/>
    </row>
    <row r="130" spans="2:14" ht="12.75" hidden="1" outlineLevel="6">
      <c r="B130" s="77" t="s">
        <v>1808</v>
      </c>
      <c r="C130" s="25">
        <v>36901.33333333333</v>
      </c>
      <c r="D130" s="26">
        <v>37180.70833333333</v>
      </c>
      <c r="F130" s="93">
        <f>F131+F134</f>
        <v>50</v>
      </c>
      <c r="H130" s="63">
        <f>$F$4</f>
        <v>218.4</v>
      </c>
      <c r="I130" s="63">
        <f>F130*H130</f>
        <v>10920</v>
      </c>
      <c r="J130" s="63">
        <v>10920</v>
      </c>
      <c r="L130" s="208">
        <f>J130</f>
        <v>10920</v>
      </c>
      <c r="N130" s="229"/>
    </row>
    <row r="131" spans="2:14" ht="12.75" hidden="1" outlineLevel="7">
      <c r="B131" s="78" t="s">
        <v>282</v>
      </c>
      <c r="C131" s="25"/>
      <c r="F131" s="93">
        <f>SUM(F132:F133)</f>
        <v>25</v>
      </c>
      <c r="J131" s="63"/>
      <c r="L131" s="208"/>
      <c r="N131" s="229"/>
    </row>
    <row r="132" spans="2:14" ht="12.75" hidden="1" outlineLevel="7">
      <c r="B132" s="83" t="s">
        <v>291</v>
      </c>
      <c r="C132" s="25"/>
      <c r="F132" s="93">
        <v>5</v>
      </c>
      <c r="J132" s="63"/>
      <c r="L132" s="208"/>
      <c r="N132" s="229"/>
    </row>
    <row r="133" spans="2:14" ht="12.75" hidden="1" outlineLevel="7">
      <c r="B133" s="83" t="s">
        <v>292</v>
      </c>
      <c r="C133" s="25"/>
      <c r="F133" s="93">
        <v>20</v>
      </c>
      <c r="J133" s="63"/>
      <c r="L133" s="208"/>
      <c r="N133" s="229"/>
    </row>
    <row r="134" spans="2:14" ht="12.75" hidden="1" outlineLevel="7">
      <c r="B134" s="78" t="s">
        <v>286</v>
      </c>
      <c r="C134" s="25"/>
      <c r="F134" s="93">
        <f>SUM(F135:F136)</f>
        <v>25</v>
      </c>
      <c r="J134" s="63"/>
      <c r="L134" s="208"/>
      <c r="N134" s="229"/>
    </row>
    <row r="135" spans="2:14" ht="12.75" hidden="1" outlineLevel="7">
      <c r="B135" s="83" t="s">
        <v>291</v>
      </c>
      <c r="C135" s="25"/>
      <c r="F135" s="93">
        <v>5</v>
      </c>
      <c r="J135" s="63"/>
      <c r="L135" s="208"/>
      <c r="N135" s="229"/>
    </row>
    <row r="136" spans="2:14" ht="12.75" hidden="1" outlineLevel="7">
      <c r="B136" s="83" t="s">
        <v>292</v>
      </c>
      <c r="C136" s="25"/>
      <c r="F136" s="93">
        <v>20</v>
      </c>
      <c r="J136" s="63"/>
      <c r="L136" s="208"/>
      <c r="N136" s="229"/>
    </row>
    <row r="137" spans="1:14" ht="12.75" hidden="1" outlineLevel="5">
      <c r="A137" t="s">
        <v>1815</v>
      </c>
      <c r="B137" s="57" t="s">
        <v>1816</v>
      </c>
      <c r="C137" s="25">
        <v>36901.33333333333</v>
      </c>
      <c r="D137" s="26">
        <v>36984.70833333333</v>
      </c>
      <c r="E137" s="27">
        <v>60</v>
      </c>
      <c r="I137" s="63">
        <f>I138</f>
        <v>20000</v>
      </c>
      <c r="J137" s="63">
        <v>20000</v>
      </c>
      <c r="L137" s="208">
        <f>J137</f>
        <v>20000</v>
      </c>
      <c r="N137" s="229">
        <f>L137</f>
        <v>20000</v>
      </c>
    </row>
    <row r="138" spans="2:14" ht="12.75" hidden="1" outlineLevel="6">
      <c r="B138" s="77" t="s">
        <v>300</v>
      </c>
      <c r="C138" s="25">
        <v>36901.33333333333</v>
      </c>
      <c r="D138" s="26">
        <v>36984.70833333333</v>
      </c>
      <c r="F138" s="93" t="s">
        <v>227</v>
      </c>
      <c r="I138" s="63">
        <f>I110</f>
        <v>20000</v>
      </c>
      <c r="J138" s="208"/>
      <c r="L138" s="208"/>
      <c r="N138" s="229"/>
    </row>
    <row r="139" spans="1:14" s="8" customFormat="1" ht="12.75" hidden="1" outlineLevel="4" collapsed="1">
      <c r="A139" s="8" t="s">
        <v>1817</v>
      </c>
      <c r="B139" s="56" t="s">
        <v>1818</v>
      </c>
      <c r="C139" s="28">
        <v>37288.33333333333</v>
      </c>
      <c r="D139" s="29">
        <v>37455.70833333333</v>
      </c>
      <c r="E139" s="30">
        <v>120</v>
      </c>
      <c r="F139" s="98">
        <f>F140+F152</f>
        <v>80</v>
      </c>
      <c r="G139" s="49"/>
      <c r="H139" s="64"/>
      <c r="I139" s="64">
        <f>I140+I152</f>
        <v>49736</v>
      </c>
      <c r="J139" s="213">
        <f>SUM(J140:J152)</f>
        <v>49299</v>
      </c>
      <c r="K139" s="218"/>
      <c r="L139" s="213">
        <f>L140+L152</f>
        <v>75104</v>
      </c>
      <c r="M139" s="216">
        <f>L139-I139</f>
        <v>25368</v>
      </c>
      <c r="N139" s="238">
        <f>N140+N152</f>
        <v>74667.2</v>
      </c>
    </row>
    <row r="140" spans="1:14" s="3" customFormat="1" ht="12.75" hidden="1" outlineLevel="5">
      <c r="A140" s="3" t="s">
        <v>1819</v>
      </c>
      <c r="B140" s="57" t="s">
        <v>1814</v>
      </c>
      <c r="C140" s="31">
        <v>37288.33333333333</v>
      </c>
      <c r="D140" s="32">
        <v>37455.70833333333</v>
      </c>
      <c r="E140" s="33">
        <v>120</v>
      </c>
      <c r="F140" s="99">
        <f>F141+F151</f>
        <v>80</v>
      </c>
      <c r="G140" s="50"/>
      <c r="H140" s="65"/>
      <c r="I140" s="85">
        <f>I141+I151</f>
        <v>29736</v>
      </c>
      <c r="J140" s="214">
        <v>29299</v>
      </c>
      <c r="K140" s="50"/>
      <c r="L140" s="214">
        <f>L141+L151</f>
        <v>55104</v>
      </c>
      <c r="M140" s="224"/>
      <c r="N140" s="239">
        <v>54667.2</v>
      </c>
    </row>
    <row r="141" spans="2:14" s="3" customFormat="1" ht="12.75" hidden="1" outlineLevel="6">
      <c r="B141" s="77" t="s">
        <v>1807</v>
      </c>
      <c r="C141" s="31">
        <v>37288.33333333333</v>
      </c>
      <c r="D141" s="32">
        <v>37455.70833333333</v>
      </c>
      <c r="E141" s="33"/>
      <c r="F141" s="99">
        <f>F142+F146+F150</f>
        <v>60</v>
      </c>
      <c r="G141" s="50"/>
      <c r="H141" s="65">
        <f>$F$6</f>
        <v>422.8</v>
      </c>
      <c r="I141" s="85">
        <f>F141*H141</f>
        <v>25368</v>
      </c>
      <c r="J141" s="214"/>
      <c r="K141" s="50"/>
      <c r="L141" s="214">
        <v>50736</v>
      </c>
      <c r="M141" s="224"/>
      <c r="N141" s="234"/>
    </row>
    <row r="142" spans="2:14" ht="12.75" hidden="1" outlineLevel="7" collapsed="1">
      <c r="B142" s="78" t="s">
        <v>294</v>
      </c>
      <c r="C142" s="25"/>
      <c r="F142" s="93">
        <f>SUM(F143:F145)</f>
        <v>15</v>
      </c>
      <c r="J142" s="214"/>
      <c r="L142" s="214"/>
      <c r="N142" s="229"/>
    </row>
    <row r="143" spans="2:14" ht="12.75" hidden="1" outlineLevel="7">
      <c r="B143" s="83" t="s">
        <v>284</v>
      </c>
      <c r="C143" s="25"/>
      <c r="F143" s="93">
        <v>5</v>
      </c>
      <c r="J143" s="214"/>
      <c r="L143" s="214"/>
      <c r="N143" s="229"/>
    </row>
    <row r="144" spans="2:14" ht="12.75" hidden="1" outlineLevel="7">
      <c r="B144" s="83" t="s">
        <v>285</v>
      </c>
      <c r="C144" s="25"/>
      <c r="F144" s="93">
        <v>5</v>
      </c>
      <c r="J144" s="214"/>
      <c r="L144" s="214"/>
      <c r="N144" s="229"/>
    </row>
    <row r="145" spans="2:14" ht="12.75" hidden="1" outlineLevel="7">
      <c r="B145" s="83" t="s">
        <v>210</v>
      </c>
      <c r="C145" s="25"/>
      <c r="F145" s="93">
        <v>5</v>
      </c>
      <c r="J145" s="214"/>
      <c r="L145" s="214"/>
      <c r="N145" s="229"/>
    </row>
    <row r="146" spans="2:14" ht="12.75" hidden="1" outlineLevel="7" collapsed="1">
      <c r="B146" s="78" t="s">
        <v>286</v>
      </c>
      <c r="C146" s="25"/>
      <c r="F146" s="93">
        <f>SUM(F147:F149)</f>
        <v>25</v>
      </c>
      <c r="J146" s="214"/>
      <c r="L146" s="214"/>
      <c r="N146" s="229"/>
    </row>
    <row r="147" spans="2:14" ht="12.75" hidden="1" outlineLevel="7">
      <c r="B147" s="83" t="s">
        <v>285</v>
      </c>
      <c r="C147" s="25"/>
      <c r="F147" s="93">
        <v>5</v>
      </c>
      <c r="J147" s="214"/>
      <c r="L147" s="214"/>
      <c r="N147" s="229"/>
    </row>
    <row r="148" spans="2:14" ht="12.75" hidden="1" outlineLevel="7">
      <c r="B148" s="83" t="s">
        <v>299</v>
      </c>
      <c r="C148" s="25"/>
      <c r="F148" s="93">
        <v>10</v>
      </c>
      <c r="J148" s="214"/>
      <c r="L148" s="214"/>
      <c r="N148" s="229"/>
    </row>
    <row r="149" spans="2:14" ht="12.75" hidden="1" outlineLevel="7">
      <c r="B149" s="83" t="s">
        <v>210</v>
      </c>
      <c r="C149" s="25"/>
      <c r="F149" s="93">
        <v>10</v>
      </c>
      <c r="J149" s="214"/>
      <c r="L149" s="214"/>
      <c r="N149" s="229"/>
    </row>
    <row r="150" spans="2:14" s="3" customFormat="1" ht="12.75" hidden="1" outlineLevel="6">
      <c r="B150" s="78" t="s">
        <v>303</v>
      </c>
      <c r="C150" s="31"/>
      <c r="D150" s="32"/>
      <c r="E150" s="33"/>
      <c r="F150" s="99">
        <v>20</v>
      </c>
      <c r="G150" s="50"/>
      <c r="H150" s="65"/>
      <c r="I150" s="85"/>
      <c r="J150" s="214"/>
      <c r="K150" s="50"/>
      <c r="L150" s="214"/>
      <c r="M150" s="224"/>
      <c r="N150" s="234"/>
    </row>
    <row r="151" spans="2:14" s="3" customFormat="1" ht="12.75" hidden="1" outlineLevel="6">
      <c r="B151" s="77" t="s">
        <v>1808</v>
      </c>
      <c r="C151" s="31">
        <v>37288.33333333333</v>
      </c>
      <c r="D151" s="32">
        <v>37455.70833333333</v>
      </c>
      <c r="E151" s="33"/>
      <c r="F151" s="99">
        <v>20</v>
      </c>
      <c r="G151" s="50"/>
      <c r="H151" s="65">
        <f>$F$4</f>
        <v>218.4</v>
      </c>
      <c r="I151" s="85">
        <f>F151*H151</f>
        <v>4368</v>
      </c>
      <c r="J151" s="214"/>
      <c r="K151" s="50"/>
      <c r="L151" s="214">
        <f>I151</f>
        <v>4368</v>
      </c>
      <c r="M151" s="224"/>
      <c r="N151" s="234"/>
    </row>
    <row r="152" spans="1:14" s="3" customFormat="1" ht="12.75" hidden="1" outlineLevel="5">
      <c r="A152" s="3" t="s">
        <v>1820</v>
      </c>
      <c r="B152" s="57" t="s">
        <v>1816</v>
      </c>
      <c r="C152" s="31">
        <v>37288.33333333333</v>
      </c>
      <c r="D152" s="32">
        <v>37399.70833333333</v>
      </c>
      <c r="E152" s="33">
        <v>80</v>
      </c>
      <c r="F152" s="100"/>
      <c r="G152" s="50"/>
      <c r="H152" s="65"/>
      <c r="I152" s="85">
        <f>I153</f>
        <v>20000</v>
      </c>
      <c r="J152" s="214">
        <v>20000</v>
      </c>
      <c r="K152" s="50"/>
      <c r="L152" s="214">
        <f>J152</f>
        <v>20000</v>
      </c>
      <c r="M152" s="224"/>
      <c r="N152" s="239">
        <f>L152</f>
        <v>20000</v>
      </c>
    </row>
    <row r="153" spans="2:14" ht="12.75" hidden="1" outlineLevel="6">
      <c r="B153" s="77" t="s">
        <v>300</v>
      </c>
      <c r="C153" s="25">
        <v>37288.33333333333</v>
      </c>
      <c r="D153" s="26">
        <v>37399.70833333333</v>
      </c>
      <c r="F153" s="93" t="s">
        <v>227</v>
      </c>
      <c r="I153" s="85">
        <f>I137</f>
        <v>20000</v>
      </c>
      <c r="J153" s="208"/>
      <c r="N153" s="229"/>
    </row>
    <row r="154" spans="1:14" s="5" customFormat="1" ht="12.75" hidden="1" outlineLevel="4">
      <c r="A154" s="5" t="s">
        <v>1821</v>
      </c>
      <c r="B154" s="56" t="s">
        <v>1822</v>
      </c>
      <c r="C154" s="22">
        <v>37501.33333333333</v>
      </c>
      <c r="D154" s="23">
        <v>37603.70833333333</v>
      </c>
      <c r="E154" s="24">
        <v>75</v>
      </c>
      <c r="F154" s="97">
        <f>F155+F160</f>
        <v>40</v>
      </c>
      <c r="G154" s="46"/>
      <c r="H154" s="62"/>
      <c r="I154" s="62">
        <f>I155+I160</f>
        <v>104380</v>
      </c>
      <c r="J154" s="207">
        <f>SUM(J155:J160)</f>
        <v>55780</v>
      </c>
      <c r="K154" s="46">
        <f>K155</f>
        <v>12</v>
      </c>
      <c r="L154" s="207">
        <f>L155+L160</f>
        <v>85180</v>
      </c>
      <c r="M154" s="216">
        <f>L154-I154</f>
        <v>-19200</v>
      </c>
      <c r="N154" s="233">
        <f>N155+N160</f>
        <v>85180</v>
      </c>
    </row>
    <row r="155" spans="1:14" ht="12.75" customHeight="1" hidden="1" outlineLevel="5">
      <c r="A155" t="s">
        <v>1823</v>
      </c>
      <c r="B155" s="57" t="s">
        <v>1824</v>
      </c>
      <c r="C155" s="25">
        <v>37501.33333333333</v>
      </c>
      <c r="D155" s="26">
        <v>37582.70833333333</v>
      </c>
      <c r="E155" s="27">
        <v>60</v>
      </c>
      <c r="G155" s="40">
        <v>12</v>
      </c>
      <c r="H155" s="63">
        <f>H159</f>
        <v>7800</v>
      </c>
      <c r="I155" s="63">
        <f>G155*H155</f>
        <v>93600</v>
      </c>
      <c r="J155" s="208">
        <v>45000</v>
      </c>
      <c r="K155" s="40">
        <f>'Cost 5_02'!C62+'Cost 5_02'!C63</f>
        <v>12</v>
      </c>
      <c r="L155" s="208">
        <f>K155*$K$10</f>
        <v>74400</v>
      </c>
      <c r="N155" s="229">
        <f>L155</f>
        <v>74400</v>
      </c>
    </row>
    <row r="156" spans="2:14" ht="12.75" hidden="1" outlineLevel="6">
      <c r="B156" s="78" t="s">
        <v>294</v>
      </c>
      <c r="C156" s="25">
        <v>37501.33333333333</v>
      </c>
      <c r="D156" s="26">
        <v>37582.70833333333</v>
      </c>
      <c r="F156" s="93" t="s">
        <v>227</v>
      </c>
      <c r="H156" s="63">
        <v>2300</v>
      </c>
      <c r="I156" s="63">
        <v>93600</v>
      </c>
      <c r="J156" s="208"/>
      <c r="N156" s="229"/>
    </row>
    <row r="157" spans="2:14" ht="12.75" hidden="1" outlineLevel="6">
      <c r="B157" s="78" t="s">
        <v>306</v>
      </c>
      <c r="C157" s="25"/>
      <c r="H157" s="63">
        <v>3100</v>
      </c>
      <c r="J157" s="208"/>
      <c r="N157" s="229"/>
    </row>
    <row r="158" spans="2:14" ht="12.75" hidden="1" outlineLevel="6">
      <c r="B158" s="78" t="s">
        <v>286</v>
      </c>
      <c r="C158" s="25"/>
      <c r="H158" s="63">
        <v>2400</v>
      </c>
      <c r="J158" s="208"/>
      <c r="N158" s="229"/>
    </row>
    <row r="159" spans="2:14" ht="12.75" hidden="1" outlineLevel="6">
      <c r="B159" s="78" t="s">
        <v>237</v>
      </c>
      <c r="C159" s="25"/>
      <c r="H159" s="63">
        <f>SUM(H156:H158)</f>
        <v>7800</v>
      </c>
      <c r="J159" s="208"/>
      <c r="N159" s="229"/>
    </row>
    <row r="160" spans="1:14" ht="12.75" hidden="1" outlineLevel="5">
      <c r="A160" t="s">
        <v>1825</v>
      </c>
      <c r="B160" s="57" t="s">
        <v>1826</v>
      </c>
      <c r="C160" s="25">
        <v>37533.33333333333</v>
      </c>
      <c r="D160" s="26">
        <v>37574.70833333333</v>
      </c>
      <c r="E160" s="27">
        <v>30</v>
      </c>
      <c r="F160" s="93">
        <f>F161+F163</f>
        <v>40</v>
      </c>
      <c r="I160" s="63">
        <f>I161+I163</f>
        <v>10780</v>
      </c>
      <c r="J160" s="208">
        <v>10780</v>
      </c>
      <c r="L160" s="214">
        <f>J160</f>
        <v>10780</v>
      </c>
      <c r="N160" s="229">
        <f>L160</f>
        <v>10780</v>
      </c>
    </row>
    <row r="161" spans="2:14" ht="12.75" hidden="1" outlineLevel="6">
      <c r="B161" s="77" t="s">
        <v>1807</v>
      </c>
      <c r="C161" s="25">
        <v>37533.33333333333</v>
      </c>
      <c r="D161" s="26">
        <v>37574.47013888889</v>
      </c>
      <c r="F161" s="93">
        <f>F162</f>
        <v>10</v>
      </c>
      <c r="H161" s="63">
        <f>$F$6</f>
        <v>422.8</v>
      </c>
      <c r="I161" s="63">
        <f>F161*H161</f>
        <v>4228</v>
      </c>
      <c r="J161" s="208"/>
      <c r="N161" s="229"/>
    </row>
    <row r="162" spans="2:14" s="2" customFormat="1" ht="12.75" hidden="1" outlineLevel="7">
      <c r="B162" s="78" t="s">
        <v>258</v>
      </c>
      <c r="C162" s="25"/>
      <c r="D162" s="26"/>
      <c r="E162" s="27"/>
      <c r="F162" s="93">
        <v>10</v>
      </c>
      <c r="G162" s="40"/>
      <c r="H162" s="84"/>
      <c r="I162" s="63"/>
      <c r="J162" s="208"/>
      <c r="K162" s="40"/>
      <c r="L162" s="40"/>
      <c r="M162" s="223"/>
      <c r="N162" s="229"/>
    </row>
    <row r="163" spans="2:14" ht="12.75" hidden="1" outlineLevel="6">
      <c r="B163" s="77" t="s">
        <v>1808</v>
      </c>
      <c r="C163" s="25">
        <v>37533.33333333333</v>
      </c>
      <c r="D163" s="26">
        <v>37574.70833333333</v>
      </c>
      <c r="F163" s="93">
        <f>F164</f>
        <v>30</v>
      </c>
      <c r="H163" s="63">
        <f>$F$4</f>
        <v>218.4</v>
      </c>
      <c r="I163" s="63">
        <f>F163*H163</f>
        <v>6552</v>
      </c>
      <c r="J163" s="208"/>
      <c r="N163" s="229"/>
    </row>
    <row r="164" spans="2:14" s="2" customFormat="1" ht="12.75" hidden="1" outlineLevel="7">
      <c r="B164" s="78" t="s">
        <v>304</v>
      </c>
      <c r="C164" s="25"/>
      <c r="D164" s="26"/>
      <c r="E164" s="27"/>
      <c r="F164" s="93">
        <v>30</v>
      </c>
      <c r="G164" s="40"/>
      <c r="H164" s="84"/>
      <c r="I164" s="63"/>
      <c r="J164" s="208"/>
      <c r="K164" s="40"/>
      <c r="L164" s="40"/>
      <c r="M164" s="223"/>
      <c r="N164" s="229"/>
    </row>
    <row r="165" spans="1:14" ht="12.75" hidden="1" outlineLevel="5">
      <c r="A165" t="s">
        <v>1827</v>
      </c>
      <c r="B165" s="57" t="s">
        <v>1795</v>
      </c>
      <c r="C165" s="25">
        <v>37501.33333333333</v>
      </c>
      <c r="D165" s="26">
        <v>37603.70833333333</v>
      </c>
      <c r="E165" s="27">
        <v>75</v>
      </c>
      <c r="F165" s="93">
        <v>0</v>
      </c>
      <c r="I165" s="63">
        <v>0</v>
      </c>
      <c r="J165" s="208"/>
      <c r="N165" s="229"/>
    </row>
    <row r="166" spans="2:14" ht="12.75" hidden="1" outlineLevel="6">
      <c r="B166" s="77" t="s">
        <v>305</v>
      </c>
      <c r="C166" s="25"/>
      <c r="J166" s="208"/>
      <c r="N166" s="229"/>
    </row>
    <row r="167" spans="1:14" s="7" customFormat="1" ht="12.75" hidden="1" outlineLevel="3" collapsed="1">
      <c r="A167" s="7" t="s">
        <v>1828</v>
      </c>
      <c r="B167" s="55" t="s">
        <v>1829</v>
      </c>
      <c r="C167" s="19">
        <v>37501.33333333333</v>
      </c>
      <c r="D167" s="20">
        <v>37669.70833333333</v>
      </c>
      <c r="E167" s="21">
        <v>110</v>
      </c>
      <c r="F167" s="96">
        <f>F171+F171+F176</f>
        <v>40</v>
      </c>
      <c r="G167" s="51"/>
      <c r="H167" s="61"/>
      <c r="I167" s="61">
        <v>61984</v>
      </c>
      <c r="J167" s="206">
        <f>J168+J171</f>
        <v>28984</v>
      </c>
      <c r="K167" s="51">
        <f>K168</f>
        <v>5</v>
      </c>
      <c r="L167" s="206">
        <f>L168+L171</f>
        <v>34484</v>
      </c>
      <c r="M167" s="215">
        <f>L167-I167</f>
        <v>-27500</v>
      </c>
      <c r="N167" s="232">
        <f>N168+N171</f>
        <v>34484</v>
      </c>
    </row>
    <row r="168" spans="1:14" s="5" customFormat="1" ht="12.75" hidden="1" outlineLevel="4" collapsed="1">
      <c r="A168" s="5" t="s">
        <v>1830</v>
      </c>
      <c r="B168" s="56" t="s">
        <v>1831</v>
      </c>
      <c r="C168" s="22">
        <v>37501.33333333333</v>
      </c>
      <c r="D168" s="23">
        <v>37582.70833333333</v>
      </c>
      <c r="E168" s="24">
        <v>60</v>
      </c>
      <c r="F168" s="97" t="s">
        <v>227</v>
      </c>
      <c r="G168" s="46"/>
      <c r="H168" s="62"/>
      <c r="I168" s="62">
        <f>I169</f>
        <v>55000</v>
      </c>
      <c r="J168" s="207">
        <v>22000</v>
      </c>
      <c r="K168" s="46">
        <f>K170</f>
        <v>5</v>
      </c>
      <c r="L168" s="207">
        <f>L169</f>
        <v>27500</v>
      </c>
      <c r="M168" s="215"/>
      <c r="N168" s="229">
        <f>L168</f>
        <v>27500</v>
      </c>
    </row>
    <row r="169" spans="2:14" ht="12.75" hidden="1" outlineLevel="6">
      <c r="B169" s="77" t="s">
        <v>1832</v>
      </c>
      <c r="C169" s="25">
        <v>37501.33333333333</v>
      </c>
      <c r="D169" s="26">
        <v>37582.70833333333</v>
      </c>
      <c r="F169" s="93" t="s">
        <v>227</v>
      </c>
      <c r="I169" s="63">
        <f>I170</f>
        <v>55000</v>
      </c>
      <c r="J169" s="208">
        <v>22000</v>
      </c>
      <c r="L169" s="208">
        <f>L170</f>
        <v>27500</v>
      </c>
      <c r="M169" s="215"/>
      <c r="N169" s="229"/>
    </row>
    <row r="170" spans="2:14" ht="12.75" hidden="1" outlineLevel="7">
      <c r="B170" s="78" t="s">
        <v>269</v>
      </c>
      <c r="C170" s="25"/>
      <c r="G170" s="40">
        <v>10</v>
      </c>
      <c r="H170" s="63">
        <v>5500</v>
      </c>
      <c r="I170" s="63">
        <f>G170*H170</f>
        <v>55000</v>
      </c>
      <c r="J170" s="208"/>
      <c r="K170" s="40">
        <f>'Cost 5_02'!C57</f>
        <v>5</v>
      </c>
      <c r="L170" s="208">
        <f>K170*$K$12</f>
        <v>27500</v>
      </c>
      <c r="M170" s="215"/>
      <c r="N170" s="229"/>
    </row>
    <row r="171" spans="1:14" s="5" customFormat="1" ht="12.75" hidden="1" outlineLevel="4" collapsed="1">
      <c r="A171" s="5" t="s">
        <v>1833</v>
      </c>
      <c r="B171" s="56" t="s">
        <v>1834</v>
      </c>
      <c r="C171" s="22">
        <v>37585.33333333333</v>
      </c>
      <c r="D171" s="23">
        <v>37655.70833333333</v>
      </c>
      <c r="E171" s="24">
        <v>40</v>
      </c>
      <c r="F171" s="97">
        <v>20</v>
      </c>
      <c r="G171" s="46"/>
      <c r="H171" s="62"/>
      <c r="I171" s="62">
        <f>I172+I174</f>
        <v>6984</v>
      </c>
      <c r="J171" s="62">
        <v>6984</v>
      </c>
      <c r="K171" s="46"/>
      <c r="L171" s="62">
        <f>J171</f>
        <v>6984</v>
      </c>
      <c r="M171" s="215"/>
      <c r="N171" s="229">
        <f>L171</f>
        <v>6984</v>
      </c>
    </row>
    <row r="172" spans="2:14" ht="12.75" hidden="1" outlineLevel="6">
      <c r="B172" s="77" t="s">
        <v>1780</v>
      </c>
      <c r="C172" s="25">
        <v>37585.33333333333</v>
      </c>
      <c r="D172" s="26">
        <v>37655.70833333333</v>
      </c>
      <c r="F172" s="93">
        <v>10</v>
      </c>
      <c r="H172" s="63">
        <f>$F$5</f>
        <v>480</v>
      </c>
      <c r="I172" s="63">
        <f>F172*H172</f>
        <v>4800</v>
      </c>
      <c r="J172" s="208"/>
      <c r="M172" s="215">
        <f aca="true" t="shared" si="0" ref="M172:M182">L172-I172</f>
        <v>-4800</v>
      </c>
      <c r="N172" s="229"/>
    </row>
    <row r="173" spans="2:14" ht="12.75" hidden="1" outlineLevel="7">
      <c r="B173" s="78" t="s">
        <v>267</v>
      </c>
      <c r="C173" s="25"/>
      <c r="J173" s="208"/>
      <c r="M173" s="215">
        <f t="shared" si="0"/>
        <v>0</v>
      </c>
      <c r="N173" s="229"/>
    </row>
    <row r="174" spans="2:14" ht="12.75" hidden="1" outlineLevel="6">
      <c r="B174" s="77" t="s">
        <v>174</v>
      </c>
      <c r="C174" s="25">
        <v>37585.33333333333</v>
      </c>
      <c r="D174" s="26">
        <v>37655.70833333333</v>
      </c>
      <c r="F174" s="93">
        <v>10</v>
      </c>
      <c r="H174" s="63">
        <f>$F$4</f>
        <v>218.4</v>
      </c>
      <c r="I174" s="63">
        <f>F174*H174</f>
        <v>2184</v>
      </c>
      <c r="J174" s="208"/>
      <c r="M174" s="215">
        <f t="shared" si="0"/>
        <v>-2184</v>
      </c>
      <c r="N174" s="229"/>
    </row>
    <row r="175" spans="2:14" ht="12.75" hidden="1" outlineLevel="7">
      <c r="B175" s="78" t="s">
        <v>268</v>
      </c>
      <c r="C175" s="25"/>
      <c r="J175" s="208"/>
      <c r="M175" s="215">
        <f t="shared" si="0"/>
        <v>0</v>
      </c>
      <c r="N175" s="229"/>
    </row>
    <row r="176" spans="1:14" s="5" customFormat="1" ht="12.75" hidden="1" outlineLevel="4">
      <c r="A176" s="5" t="s">
        <v>1835</v>
      </c>
      <c r="B176" s="56" t="s">
        <v>1836</v>
      </c>
      <c r="C176" s="22">
        <v>37656.33333333333</v>
      </c>
      <c r="D176" s="23">
        <v>37669.70833333333</v>
      </c>
      <c r="E176" s="24">
        <v>10</v>
      </c>
      <c r="F176" s="97">
        <v>0</v>
      </c>
      <c r="G176" s="46"/>
      <c r="H176" s="62"/>
      <c r="I176" s="62">
        <v>0</v>
      </c>
      <c r="J176" s="207"/>
      <c r="K176" s="46"/>
      <c r="L176" s="46"/>
      <c r="M176" s="215"/>
      <c r="N176" s="233"/>
    </row>
    <row r="177" spans="1:14" s="7" customFormat="1" ht="12.75" hidden="1" outlineLevel="3" collapsed="1">
      <c r="A177" s="7" t="s">
        <v>1837</v>
      </c>
      <c r="B177" s="55" t="s">
        <v>1838</v>
      </c>
      <c r="C177" s="19">
        <v>37501.33333333333</v>
      </c>
      <c r="D177" s="20">
        <v>37683.70833333333</v>
      </c>
      <c r="E177" s="21">
        <v>120</v>
      </c>
      <c r="F177" s="96">
        <f>F180</f>
        <v>5</v>
      </c>
      <c r="G177" s="51"/>
      <c r="H177" s="61"/>
      <c r="I177" s="61">
        <f>I178+I180</f>
        <v>14400</v>
      </c>
      <c r="J177" s="206">
        <f>J178+J180</f>
        <v>8400</v>
      </c>
      <c r="K177" s="51">
        <f>K178</f>
        <v>2</v>
      </c>
      <c r="L177" s="206">
        <f>L178+L180</f>
        <v>8400</v>
      </c>
      <c r="M177" s="215">
        <f t="shared" si="0"/>
        <v>-6000</v>
      </c>
      <c r="N177" s="232">
        <f>N178+N180</f>
        <v>8400</v>
      </c>
    </row>
    <row r="178" spans="1:14" s="5" customFormat="1" ht="12.75" hidden="1" outlineLevel="4" collapsed="1">
      <c r="A178" s="5" t="s">
        <v>1839</v>
      </c>
      <c r="B178" s="56" t="s">
        <v>1840</v>
      </c>
      <c r="C178" s="22">
        <v>37501.33333333333</v>
      </c>
      <c r="D178" s="23">
        <v>37655.70833333333</v>
      </c>
      <c r="E178" s="24">
        <v>100</v>
      </c>
      <c r="F178" s="97" t="s">
        <v>227</v>
      </c>
      <c r="G178" s="46"/>
      <c r="H178" s="62"/>
      <c r="I178" s="62">
        <f>I179</f>
        <v>12000</v>
      </c>
      <c r="J178" s="207">
        <v>6000</v>
      </c>
      <c r="K178" s="46">
        <f>K179</f>
        <v>2</v>
      </c>
      <c r="L178" s="207">
        <f>L179</f>
        <v>6000</v>
      </c>
      <c r="M178" s="217">
        <f t="shared" si="0"/>
        <v>-6000</v>
      </c>
      <c r="N178" s="233">
        <f>L178</f>
        <v>6000</v>
      </c>
    </row>
    <row r="179" spans="2:14" ht="12.75" hidden="1" outlineLevel="6">
      <c r="B179" s="77" t="s">
        <v>270</v>
      </c>
      <c r="C179" s="25">
        <v>37501.33333333333</v>
      </c>
      <c r="D179" s="26">
        <v>37655.70833333333</v>
      </c>
      <c r="F179" s="93" t="s">
        <v>227</v>
      </c>
      <c r="G179" s="40">
        <v>4</v>
      </c>
      <c r="H179" s="63">
        <v>3000</v>
      </c>
      <c r="I179" s="63">
        <f>G179*H179</f>
        <v>12000</v>
      </c>
      <c r="J179" s="208"/>
      <c r="K179" s="40">
        <f>'Cost 5_02'!C53</f>
        <v>2</v>
      </c>
      <c r="L179" s="208">
        <f>K179*$K$13</f>
        <v>6000</v>
      </c>
      <c r="M179" s="215"/>
      <c r="N179" s="229"/>
    </row>
    <row r="180" spans="1:14" s="5" customFormat="1" ht="12.75" hidden="1" outlineLevel="4" collapsed="1">
      <c r="A180" s="5" t="s">
        <v>1842</v>
      </c>
      <c r="B180" s="56" t="s">
        <v>1843</v>
      </c>
      <c r="C180" s="22">
        <v>37656.33333333333</v>
      </c>
      <c r="D180" s="23">
        <v>37669.70833333333</v>
      </c>
      <c r="E180" s="24">
        <v>10</v>
      </c>
      <c r="F180" s="97">
        <v>5</v>
      </c>
      <c r="G180" s="46"/>
      <c r="H180" s="62"/>
      <c r="I180" s="62">
        <v>2400</v>
      </c>
      <c r="J180" s="207">
        <v>2400</v>
      </c>
      <c r="K180" s="46"/>
      <c r="L180" s="207">
        <f>J180</f>
        <v>2400</v>
      </c>
      <c r="M180" s="217">
        <f t="shared" si="0"/>
        <v>0</v>
      </c>
      <c r="N180" s="233">
        <f>L180</f>
        <v>2400</v>
      </c>
    </row>
    <row r="181" spans="2:14" ht="12.75" hidden="1" outlineLevel="6">
      <c r="B181" s="77" t="s">
        <v>1780</v>
      </c>
      <c r="C181" s="25">
        <v>37656.33333333333</v>
      </c>
      <c r="D181" s="26">
        <v>37669.70833333333</v>
      </c>
      <c r="F181" s="93">
        <v>5</v>
      </c>
      <c r="H181" s="63">
        <f>$F$5</f>
        <v>480</v>
      </c>
      <c r="I181" s="63">
        <f>F181*H181</f>
        <v>2400</v>
      </c>
      <c r="J181" s="208"/>
      <c r="M181" s="215">
        <f t="shared" si="0"/>
        <v>-2400</v>
      </c>
      <c r="N181" s="229"/>
    </row>
    <row r="182" spans="2:14" ht="12.75" hidden="1" outlineLevel="7">
      <c r="B182" s="78" t="s">
        <v>267</v>
      </c>
      <c r="C182" s="25"/>
      <c r="J182" s="208"/>
      <c r="M182" s="215">
        <f t="shared" si="0"/>
        <v>0</v>
      </c>
      <c r="N182" s="229"/>
    </row>
    <row r="183" spans="1:14" s="5" customFormat="1" ht="12.75" hidden="1" outlineLevel="4">
      <c r="A183" s="5" t="s">
        <v>1844</v>
      </c>
      <c r="B183" s="56" t="s">
        <v>0</v>
      </c>
      <c r="C183" s="22">
        <v>37670.33333333333</v>
      </c>
      <c r="D183" s="23">
        <v>37683.70833333333</v>
      </c>
      <c r="E183" s="24">
        <v>10</v>
      </c>
      <c r="F183" s="97">
        <v>0</v>
      </c>
      <c r="G183" s="46"/>
      <c r="H183" s="62"/>
      <c r="I183" s="62">
        <v>0</v>
      </c>
      <c r="J183" s="207"/>
      <c r="K183" s="46"/>
      <c r="L183" s="46"/>
      <c r="M183" s="215"/>
      <c r="N183" s="233"/>
    </row>
    <row r="184" spans="1:14" s="7" customFormat="1" ht="12.75" hidden="1" outlineLevel="3">
      <c r="A184" s="7" t="s">
        <v>1</v>
      </c>
      <c r="B184" s="55" t="s">
        <v>2</v>
      </c>
      <c r="C184" s="19">
        <v>37774.33333333333</v>
      </c>
      <c r="D184" s="20">
        <v>37848.70833333333</v>
      </c>
      <c r="E184" s="21">
        <v>55</v>
      </c>
      <c r="F184" s="96">
        <f>F185+F194+F199</f>
        <v>25</v>
      </c>
      <c r="G184" s="45"/>
      <c r="H184" s="61"/>
      <c r="I184" s="61">
        <f>I185+I194+I199</f>
        <v>46460.85247872001</v>
      </c>
      <c r="J184" s="206">
        <f>J185+J194</f>
        <v>25251</v>
      </c>
      <c r="K184" s="51">
        <f>K185</f>
        <v>288</v>
      </c>
      <c r="L184" s="206">
        <f>L185+L194</f>
        <v>24048</v>
      </c>
      <c r="M184" s="215">
        <f>L184-I184</f>
        <v>-22412.852478720008</v>
      </c>
      <c r="N184" s="232">
        <f>N185+N194</f>
        <v>24048</v>
      </c>
    </row>
    <row r="185" spans="1:14" s="5" customFormat="1" ht="12.75" hidden="1" outlineLevel="4" collapsed="1">
      <c r="A185" s="5" t="s">
        <v>3</v>
      </c>
      <c r="B185" s="56" t="s">
        <v>336</v>
      </c>
      <c r="C185" s="22">
        <v>37774.33333333333</v>
      </c>
      <c r="D185" s="23">
        <v>37806.70833333333</v>
      </c>
      <c r="E185" s="24">
        <v>25</v>
      </c>
      <c r="F185" s="97"/>
      <c r="G185" s="47">
        <f>G193</f>
        <v>302.40000000000003</v>
      </c>
      <c r="H185" s="62">
        <f>H191</f>
        <v>131.2594328</v>
      </c>
      <c r="I185" s="62">
        <f>G185*H185</f>
        <v>39692.85247872001</v>
      </c>
      <c r="J185" s="207">
        <v>18483</v>
      </c>
      <c r="K185" s="46">
        <f>'Cost 5_02'!C50</f>
        <v>288</v>
      </c>
      <c r="L185" s="207">
        <f>K185*$K$14</f>
        <v>17280</v>
      </c>
      <c r="M185" s="216">
        <f>L185-I185</f>
        <v>-22412.852478720008</v>
      </c>
      <c r="N185" s="233">
        <f>L185</f>
        <v>17280</v>
      </c>
    </row>
    <row r="186" spans="2:14" ht="12.75" hidden="1" outlineLevel="6">
      <c r="B186" s="81" t="s">
        <v>273</v>
      </c>
      <c r="C186" s="25"/>
      <c r="G186" s="48">
        <v>1000</v>
      </c>
      <c r="H186" s="63">
        <v>472.11</v>
      </c>
      <c r="J186" s="208"/>
      <c r="N186" s="229"/>
    </row>
    <row r="187" spans="2:14" ht="12.75" hidden="1" outlineLevel="6">
      <c r="B187" s="81" t="s">
        <v>277</v>
      </c>
      <c r="C187" s="25"/>
      <c r="G187" s="48">
        <v>1</v>
      </c>
      <c r="H187" s="63">
        <f>20*H186*3.281/G186</f>
        <v>30.979858200000002</v>
      </c>
      <c r="J187" s="208"/>
      <c r="N187" s="229"/>
    </row>
    <row r="188" spans="2:14" ht="12.75" hidden="1" outlineLevel="6">
      <c r="B188" s="81" t="s">
        <v>274</v>
      </c>
      <c r="C188" s="25"/>
      <c r="G188" s="48">
        <v>1</v>
      </c>
      <c r="H188" s="63">
        <v>2.61</v>
      </c>
      <c r="J188" s="208"/>
      <c r="N188" s="229"/>
    </row>
    <row r="189" spans="2:14" ht="12.75" hidden="1" outlineLevel="6">
      <c r="B189" s="81" t="s">
        <v>275</v>
      </c>
      <c r="C189" s="25"/>
      <c r="G189" s="48">
        <v>1</v>
      </c>
      <c r="H189" s="63">
        <v>1.06</v>
      </c>
      <c r="J189" s="208"/>
      <c r="N189" s="229"/>
    </row>
    <row r="190" spans="2:14" ht="12.75" hidden="1" outlineLevel="6">
      <c r="B190" s="81" t="s">
        <v>276</v>
      </c>
      <c r="C190" s="25"/>
      <c r="G190" s="48">
        <v>1</v>
      </c>
      <c r="H190" s="63">
        <f>SUM(H188:H189)</f>
        <v>3.67</v>
      </c>
      <c r="J190" s="208"/>
      <c r="N190" s="229"/>
    </row>
    <row r="191" spans="2:14" ht="12.75" hidden="1" outlineLevel="6">
      <c r="B191" s="81" t="s">
        <v>278</v>
      </c>
      <c r="C191" s="25"/>
      <c r="G191" s="48">
        <v>4</v>
      </c>
      <c r="H191" s="63">
        <f>4*H187+2*H190</f>
        <v>131.2594328</v>
      </c>
      <c r="J191" s="208"/>
      <c r="N191" s="229"/>
    </row>
    <row r="192" spans="2:14" ht="12.75" hidden="1" outlineLevel="6">
      <c r="B192" s="81" t="s">
        <v>279</v>
      </c>
      <c r="C192" s="25"/>
      <c r="G192" s="48">
        <v>2304</v>
      </c>
      <c r="J192" s="208"/>
      <c r="N192" s="229"/>
    </row>
    <row r="193" spans="2:14" ht="12.75" hidden="1" outlineLevel="6">
      <c r="B193" s="81" t="s">
        <v>280</v>
      </c>
      <c r="C193" s="25"/>
      <c r="G193" s="48">
        <f>1.05*G192/8</f>
        <v>302.40000000000003</v>
      </c>
      <c r="J193" s="208"/>
      <c r="N193" s="229"/>
    </row>
    <row r="194" spans="1:14" s="5" customFormat="1" ht="12.75" hidden="1" outlineLevel="4" collapsed="1">
      <c r="A194" s="5" t="s">
        <v>5</v>
      </c>
      <c r="B194" s="56" t="s">
        <v>6</v>
      </c>
      <c r="C194" s="22">
        <v>37809.33333333333</v>
      </c>
      <c r="D194" s="23">
        <v>37834.70833333333</v>
      </c>
      <c r="E194" s="24">
        <v>20</v>
      </c>
      <c r="F194" s="97">
        <v>25</v>
      </c>
      <c r="G194" s="46"/>
      <c r="H194" s="62"/>
      <c r="I194" s="62">
        <f>I195+I197</f>
        <v>6768</v>
      </c>
      <c r="J194" s="62">
        <v>6768</v>
      </c>
      <c r="K194" s="46"/>
      <c r="L194" s="62">
        <f>J194</f>
        <v>6768</v>
      </c>
      <c r="M194" s="216"/>
      <c r="N194" s="233">
        <f>L194</f>
        <v>6768</v>
      </c>
    </row>
    <row r="195" spans="2:14" ht="12.75" hidden="1" outlineLevel="6">
      <c r="B195" s="77" t="s">
        <v>174</v>
      </c>
      <c r="C195" s="25">
        <v>37809.33333333333</v>
      </c>
      <c r="D195" s="26">
        <v>37834.70833333333</v>
      </c>
      <c r="F195" s="93">
        <v>20</v>
      </c>
      <c r="H195" s="63">
        <f>$F$4</f>
        <v>218.4</v>
      </c>
      <c r="I195" s="63">
        <f>F195*H195</f>
        <v>4368</v>
      </c>
      <c r="J195" s="208"/>
      <c r="N195" s="229"/>
    </row>
    <row r="196" spans="2:14" ht="12.75" hidden="1" outlineLevel="7">
      <c r="B196" s="78" t="s">
        <v>272</v>
      </c>
      <c r="C196" s="25"/>
      <c r="J196" s="208"/>
      <c r="N196" s="229"/>
    </row>
    <row r="197" spans="2:14" ht="12.75" hidden="1" outlineLevel="6">
      <c r="B197" s="77" t="s">
        <v>1780</v>
      </c>
      <c r="C197" s="25">
        <v>37809.33333333333</v>
      </c>
      <c r="D197" s="26">
        <v>37834.70833333333</v>
      </c>
      <c r="F197" s="93">
        <v>5</v>
      </c>
      <c r="H197" s="63">
        <f>$F$5</f>
        <v>480</v>
      </c>
      <c r="I197" s="63">
        <f>F197*H197</f>
        <v>2400</v>
      </c>
      <c r="J197" s="208"/>
      <c r="N197" s="229"/>
    </row>
    <row r="198" spans="2:14" ht="12.75" hidden="1" outlineLevel="7">
      <c r="B198" s="78" t="s">
        <v>271</v>
      </c>
      <c r="C198" s="25"/>
      <c r="J198" s="208"/>
      <c r="N198" s="229"/>
    </row>
    <row r="199" spans="1:14" s="5" customFormat="1" ht="12.75" hidden="1" outlineLevel="4">
      <c r="A199" s="5" t="s">
        <v>7</v>
      </c>
      <c r="B199" s="56" t="s">
        <v>8</v>
      </c>
      <c r="C199" s="22">
        <v>37837.33333333333</v>
      </c>
      <c r="D199" s="23">
        <v>37848.70833333333</v>
      </c>
      <c r="E199" s="24">
        <v>10</v>
      </c>
      <c r="F199" s="97">
        <v>0</v>
      </c>
      <c r="G199" s="46"/>
      <c r="H199" s="62"/>
      <c r="I199" s="62">
        <v>0</v>
      </c>
      <c r="J199" s="207"/>
      <c r="K199" s="46"/>
      <c r="L199" s="46"/>
      <c r="M199" s="216"/>
      <c r="N199" s="233"/>
    </row>
    <row r="200" spans="1:14" s="7" customFormat="1" ht="12.75" hidden="1" outlineLevel="3" collapsed="1">
      <c r="A200" s="7" t="s">
        <v>9</v>
      </c>
      <c r="B200" s="55" t="s">
        <v>10</v>
      </c>
      <c r="C200" s="19">
        <v>37774.33333333333</v>
      </c>
      <c r="D200" s="20">
        <v>37813.70833333333</v>
      </c>
      <c r="E200" s="21">
        <v>30</v>
      </c>
      <c r="F200" s="96">
        <f>F201+F203</f>
        <v>0</v>
      </c>
      <c r="G200" s="45"/>
      <c r="H200" s="61"/>
      <c r="I200" s="61">
        <v>0</v>
      </c>
      <c r="J200" s="206"/>
      <c r="K200" s="51"/>
      <c r="L200" s="51"/>
      <c r="M200" s="215"/>
      <c r="N200" s="232"/>
    </row>
    <row r="201" spans="1:14" s="5" customFormat="1" ht="12.75" hidden="1" outlineLevel="4" collapsed="1">
      <c r="A201" s="5" t="s">
        <v>11</v>
      </c>
      <c r="B201" s="56" t="s">
        <v>12</v>
      </c>
      <c r="C201" s="22">
        <v>37774.33333333333</v>
      </c>
      <c r="D201" s="23">
        <v>37799.70833333333</v>
      </c>
      <c r="E201" s="24">
        <v>20</v>
      </c>
      <c r="F201" s="97"/>
      <c r="G201" s="47"/>
      <c r="H201" s="62"/>
      <c r="I201" s="62">
        <v>0</v>
      </c>
      <c r="J201" s="207"/>
      <c r="K201" s="46"/>
      <c r="L201" s="46"/>
      <c r="M201" s="216"/>
      <c r="N201" s="233"/>
    </row>
    <row r="202" spans="2:14" ht="12.75" hidden="1" outlineLevel="6">
      <c r="B202" s="77" t="s">
        <v>302</v>
      </c>
      <c r="C202" s="25">
        <v>37774.33333333333</v>
      </c>
      <c r="D202" s="26">
        <v>37799.70833333333</v>
      </c>
      <c r="F202" s="93">
        <v>3020</v>
      </c>
      <c r="G202" s="48"/>
      <c r="I202" s="63">
        <v>0</v>
      </c>
      <c r="J202" s="208"/>
      <c r="N202" s="229"/>
    </row>
    <row r="203" spans="1:14" s="5" customFormat="1" ht="12.75" hidden="1" outlineLevel="4">
      <c r="A203" s="5" t="s">
        <v>13</v>
      </c>
      <c r="B203" s="56" t="s">
        <v>14</v>
      </c>
      <c r="C203" s="22">
        <v>37802.33333333333</v>
      </c>
      <c r="D203" s="23">
        <v>37813.70833333333</v>
      </c>
      <c r="E203" s="24">
        <v>10</v>
      </c>
      <c r="F203" s="97">
        <v>0</v>
      </c>
      <c r="G203" s="46"/>
      <c r="H203" s="62"/>
      <c r="I203" s="62">
        <v>0</v>
      </c>
      <c r="J203" s="207"/>
      <c r="K203" s="46"/>
      <c r="L203" s="46"/>
      <c r="M203" s="216"/>
      <c r="N203" s="233"/>
    </row>
    <row r="204" spans="1:14" s="7" customFormat="1" ht="12.75" hidden="1" outlineLevel="3" collapsed="1">
      <c r="A204" s="7" t="s">
        <v>15</v>
      </c>
      <c r="B204" s="55" t="s">
        <v>16</v>
      </c>
      <c r="C204" s="19">
        <v>37592.33333333333</v>
      </c>
      <c r="D204" s="20">
        <v>37746.70833333333</v>
      </c>
      <c r="E204" s="21">
        <v>100</v>
      </c>
      <c r="F204" s="96">
        <f>F205+F208</f>
        <v>25</v>
      </c>
      <c r="G204" s="51"/>
      <c r="H204" s="61"/>
      <c r="I204" s="61">
        <v>12000</v>
      </c>
      <c r="J204" s="206">
        <v>12000</v>
      </c>
      <c r="K204" s="51"/>
      <c r="L204" s="206">
        <f>J204</f>
        <v>12000</v>
      </c>
      <c r="M204" s="215">
        <f>L204-I204</f>
        <v>0</v>
      </c>
      <c r="N204" s="232"/>
    </row>
    <row r="205" spans="1:14" s="5" customFormat="1" ht="12.75" hidden="1" outlineLevel="4" collapsed="1">
      <c r="A205" s="5" t="s">
        <v>17</v>
      </c>
      <c r="B205" s="56" t="s">
        <v>18</v>
      </c>
      <c r="C205" s="22">
        <v>37592.33333333333</v>
      </c>
      <c r="D205" s="23">
        <v>37746.70833333333</v>
      </c>
      <c r="E205" s="24">
        <v>100</v>
      </c>
      <c r="F205" s="97">
        <v>25</v>
      </c>
      <c r="G205" s="46"/>
      <c r="H205" s="62"/>
      <c r="I205" s="62">
        <v>12000</v>
      </c>
      <c r="J205" s="207">
        <v>12000</v>
      </c>
      <c r="K205" s="46"/>
      <c r="L205" s="207">
        <f>J205</f>
        <v>12000</v>
      </c>
      <c r="M205" s="216"/>
      <c r="N205" s="233">
        <f>L205</f>
        <v>12000</v>
      </c>
    </row>
    <row r="206" spans="2:14" ht="12.75" hidden="1" outlineLevel="6">
      <c r="B206" s="77" t="s">
        <v>1780</v>
      </c>
      <c r="C206" s="25">
        <v>37592.33333333333</v>
      </c>
      <c r="D206" s="26">
        <v>37746.70833333333</v>
      </c>
      <c r="F206" s="93">
        <f>F207</f>
        <v>25</v>
      </c>
      <c r="H206" s="63">
        <f>$F$5</f>
        <v>480</v>
      </c>
      <c r="I206" s="63">
        <f>F206*H206</f>
        <v>12000</v>
      </c>
      <c r="J206" s="208"/>
      <c r="N206" s="229"/>
    </row>
    <row r="207" spans="2:14" ht="12" customHeight="1" hidden="1" outlineLevel="7">
      <c r="B207" s="78" t="s">
        <v>328</v>
      </c>
      <c r="C207" s="25"/>
      <c r="F207" s="93">
        <v>25</v>
      </c>
      <c r="J207" s="208"/>
      <c r="N207" s="229"/>
    </row>
    <row r="208" spans="1:14" s="5" customFormat="1" ht="12.75" hidden="1" outlineLevel="4" collapsed="1">
      <c r="A208" s="5" t="s">
        <v>19</v>
      </c>
      <c r="B208" s="56" t="s">
        <v>20</v>
      </c>
      <c r="C208" s="22">
        <v>37592.33333333333</v>
      </c>
      <c r="D208" s="23">
        <v>37634.70833333333</v>
      </c>
      <c r="E208" s="24">
        <v>20</v>
      </c>
      <c r="F208" s="97"/>
      <c r="G208" s="46"/>
      <c r="H208" s="62"/>
      <c r="I208" s="62">
        <v>0</v>
      </c>
      <c r="J208" s="207"/>
      <c r="K208" s="46"/>
      <c r="L208" s="46"/>
      <c r="M208" s="216"/>
      <c r="N208" s="233"/>
    </row>
    <row r="209" spans="2:14" ht="12.75" hidden="1" outlineLevel="6">
      <c r="B209" s="77" t="s">
        <v>301</v>
      </c>
      <c r="C209" s="25">
        <v>37592.33333333333</v>
      </c>
      <c r="D209" s="26">
        <v>37634.70833333333</v>
      </c>
      <c r="F209" s="93" t="s">
        <v>227</v>
      </c>
      <c r="I209" s="63">
        <v>0</v>
      </c>
      <c r="J209" s="208"/>
      <c r="N209" s="229"/>
    </row>
    <row r="210" spans="1:14" s="5" customFormat="1" ht="12.75" hidden="1" outlineLevel="4">
      <c r="A210" s="5" t="s">
        <v>21</v>
      </c>
      <c r="B210" s="56" t="s">
        <v>22</v>
      </c>
      <c r="C210" s="22">
        <v>37635.33333333333</v>
      </c>
      <c r="D210" s="23">
        <v>37648.70833333333</v>
      </c>
      <c r="E210" s="24">
        <v>10</v>
      </c>
      <c r="F210" s="97">
        <v>0</v>
      </c>
      <c r="G210" s="46"/>
      <c r="H210" s="62"/>
      <c r="I210" s="62">
        <v>0</v>
      </c>
      <c r="J210" s="207"/>
      <c r="K210" s="46"/>
      <c r="L210" s="46"/>
      <c r="M210" s="216"/>
      <c r="N210" s="233"/>
    </row>
    <row r="211" spans="1:14" s="7" customFormat="1" ht="12.75" hidden="1" outlineLevel="3" collapsed="1">
      <c r="A211" s="7" t="s">
        <v>23</v>
      </c>
      <c r="B211" s="55" t="s">
        <v>24</v>
      </c>
      <c r="C211" s="19">
        <v>35612.33333333333</v>
      </c>
      <c r="D211" s="20">
        <v>37655.70833333333</v>
      </c>
      <c r="E211" s="21">
        <v>1396</v>
      </c>
      <c r="F211" s="96">
        <f>F212+F214+F216+F239+F260+F279</f>
        <v>280</v>
      </c>
      <c r="G211" s="51"/>
      <c r="H211" s="61"/>
      <c r="I211" s="61">
        <v>260012.97</v>
      </c>
      <c r="J211" s="206"/>
      <c r="K211" s="51">
        <f>K279</f>
        <v>6</v>
      </c>
      <c r="L211" s="61">
        <f>L214+L216+L239+L260+L279</f>
        <v>187784.97</v>
      </c>
      <c r="M211" s="215">
        <f>L211-I211</f>
        <v>-72228</v>
      </c>
      <c r="N211" s="232"/>
    </row>
    <row r="212" spans="1:14" s="9" customFormat="1" ht="12.75" hidden="1" outlineLevel="4" collapsed="1">
      <c r="A212" s="9" t="s">
        <v>25</v>
      </c>
      <c r="B212" s="86" t="s">
        <v>26</v>
      </c>
      <c r="C212" s="34">
        <v>35612.33333333333</v>
      </c>
      <c r="D212" s="35">
        <v>35625.70833333333</v>
      </c>
      <c r="E212" s="36">
        <v>10</v>
      </c>
      <c r="F212" s="101">
        <v>10</v>
      </c>
      <c r="G212" s="52"/>
      <c r="H212" s="66"/>
      <c r="I212" s="66">
        <f>I213</f>
        <v>4228</v>
      </c>
      <c r="J212" s="209"/>
      <c r="K212" s="52"/>
      <c r="L212" s="66">
        <f>I212</f>
        <v>4228</v>
      </c>
      <c r="M212" s="217"/>
      <c r="N212" s="235">
        <v>0</v>
      </c>
    </row>
    <row r="213" spans="2:14" s="6" customFormat="1" ht="12.75" hidden="1" outlineLevel="6">
      <c r="B213" s="81" t="s">
        <v>175</v>
      </c>
      <c r="C213" s="37">
        <v>35612.33333333333</v>
      </c>
      <c r="D213" s="38">
        <v>35625.70833333333</v>
      </c>
      <c r="E213" s="39"/>
      <c r="F213" s="102">
        <v>10</v>
      </c>
      <c r="G213" s="53"/>
      <c r="H213" s="67">
        <f>$F$8</f>
        <v>422.8</v>
      </c>
      <c r="I213" s="67">
        <f>F213*H213</f>
        <v>4228</v>
      </c>
      <c r="J213" s="210"/>
      <c r="K213" s="53"/>
      <c r="L213" s="66">
        <f aca="true" t="shared" si="1" ref="L213:L276">I213</f>
        <v>4228</v>
      </c>
      <c r="M213" s="225"/>
      <c r="N213" s="236"/>
    </row>
    <row r="214" spans="1:14" s="9" customFormat="1" ht="12.75" hidden="1" outlineLevel="4" collapsed="1">
      <c r="A214" s="9" t="s">
        <v>27</v>
      </c>
      <c r="B214" s="86" t="s">
        <v>28</v>
      </c>
      <c r="C214" s="34">
        <v>36381.33333333333</v>
      </c>
      <c r="D214" s="35">
        <v>36406.70833333333</v>
      </c>
      <c r="E214" s="36">
        <v>20</v>
      </c>
      <c r="F214" s="101">
        <v>20</v>
      </c>
      <c r="G214" s="52"/>
      <c r="H214" s="66"/>
      <c r="I214" s="66">
        <f>I215</f>
        <v>4368</v>
      </c>
      <c r="J214" s="66">
        <v>4368</v>
      </c>
      <c r="K214" s="52"/>
      <c r="L214" s="66">
        <f t="shared" si="1"/>
        <v>4368</v>
      </c>
      <c r="M214" s="217"/>
      <c r="N214" s="235">
        <f>L214</f>
        <v>4368</v>
      </c>
    </row>
    <row r="215" spans="2:14" s="6" customFormat="1" ht="12.75" hidden="1" outlineLevel="6">
      <c r="B215" s="81" t="s">
        <v>176</v>
      </c>
      <c r="C215" s="37">
        <v>36381.33333333333</v>
      </c>
      <c r="D215" s="38">
        <v>36406.70833333333</v>
      </c>
      <c r="E215" s="39"/>
      <c r="F215" s="102">
        <v>20</v>
      </c>
      <c r="G215" s="53"/>
      <c r="H215" s="67">
        <f>$F$4</f>
        <v>218.4</v>
      </c>
      <c r="I215" s="67">
        <f>F215*H215</f>
        <v>4368</v>
      </c>
      <c r="J215" s="210"/>
      <c r="K215" s="53"/>
      <c r="L215" s="66">
        <f t="shared" si="1"/>
        <v>4368</v>
      </c>
      <c r="M215" s="225"/>
      <c r="N215" s="236"/>
    </row>
    <row r="216" spans="1:14" s="9" customFormat="1" ht="12.75" hidden="1" outlineLevel="4" collapsed="1">
      <c r="A216" s="9" t="s">
        <v>29</v>
      </c>
      <c r="B216" s="86" t="s">
        <v>30</v>
      </c>
      <c r="C216" s="34">
        <v>36619.33333333333</v>
      </c>
      <c r="D216" s="35">
        <v>36756.70833333333</v>
      </c>
      <c r="E216" s="36">
        <v>100</v>
      </c>
      <c r="F216" s="101">
        <f>F217</f>
        <v>50</v>
      </c>
      <c r="G216" s="52"/>
      <c r="H216" s="66"/>
      <c r="I216" s="66">
        <v>46240</v>
      </c>
      <c r="J216" s="209">
        <v>46240</v>
      </c>
      <c r="K216" s="52"/>
      <c r="L216" s="66">
        <f t="shared" si="1"/>
        <v>46240</v>
      </c>
      <c r="M216" s="217"/>
      <c r="N216" s="235"/>
    </row>
    <row r="217" spans="1:14" s="6" customFormat="1" ht="12.75" hidden="1" outlineLevel="5">
      <c r="A217" s="6" t="s">
        <v>31</v>
      </c>
      <c r="B217" s="90" t="s">
        <v>32</v>
      </c>
      <c r="C217" s="37">
        <v>36619.33333333333</v>
      </c>
      <c r="D217" s="38">
        <v>36756.70833333333</v>
      </c>
      <c r="E217" s="39">
        <v>100</v>
      </c>
      <c r="F217" s="102">
        <f>F218</f>
        <v>50</v>
      </c>
      <c r="G217" s="53"/>
      <c r="H217" s="67">
        <f>$F$7</f>
        <v>422.8</v>
      </c>
      <c r="I217" s="67">
        <f>F217*H217</f>
        <v>21140</v>
      </c>
      <c r="J217" s="210"/>
      <c r="K217" s="53"/>
      <c r="L217" s="67">
        <f t="shared" si="1"/>
        <v>21140</v>
      </c>
      <c r="M217" s="225"/>
      <c r="N217" s="236">
        <f>L217</f>
        <v>21140</v>
      </c>
    </row>
    <row r="218" spans="2:14" s="6" customFormat="1" ht="12.75" hidden="1" outlineLevel="6">
      <c r="B218" s="81" t="s">
        <v>1773</v>
      </c>
      <c r="C218" s="37">
        <v>36619.33333333333</v>
      </c>
      <c r="D218" s="38">
        <v>36756.70833333333</v>
      </c>
      <c r="E218" s="39"/>
      <c r="F218" s="102">
        <f>F219+F223</f>
        <v>50</v>
      </c>
      <c r="G218" s="53"/>
      <c r="H218" s="67"/>
      <c r="I218" s="67">
        <v>21140</v>
      </c>
      <c r="J218" s="210"/>
      <c r="K218" s="53"/>
      <c r="L218" s="67">
        <f t="shared" si="1"/>
        <v>21140</v>
      </c>
      <c r="M218" s="225"/>
      <c r="N218" s="236"/>
    </row>
    <row r="219" spans="2:14" s="6" customFormat="1" ht="12.75" hidden="1" outlineLevel="7">
      <c r="B219" s="89" t="s">
        <v>307</v>
      </c>
      <c r="C219" s="37"/>
      <c r="D219" s="38"/>
      <c r="E219" s="39"/>
      <c r="F219" s="102">
        <f>SUM(F220:F222)</f>
        <v>20</v>
      </c>
      <c r="G219" s="53"/>
      <c r="H219" s="67"/>
      <c r="I219" s="67"/>
      <c r="J219" s="210"/>
      <c r="K219" s="53"/>
      <c r="L219" s="67">
        <f t="shared" si="1"/>
        <v>0</v>
      </c>
      <c r="M219" s="225"/>
      <c r="N219" s="236"/>
    </row>
    <row r="220" spans="2:14" s="6" customFormat="1" ht="12.75" hidden="1" outlineLevel="7">
      <c r="B220" s="87" t="s">
        <v>308</v>
      </c>
      <c r="C220" s="37"/>
      <c r="D220" s="38"/>
      <c r="E220" s="39"/>
      <c r="F220" s="102">
        <v>10</v>
      </c>
      <c r="G220" s="53"/>
      <c r="H220" s="67"/>
      <c r="I220" s="67"/>
      <c r="J220" s="210"/>
      <c r="K220" s="53"/>
      <c r="L220" s="67">
        <f t="shared" si="1"/>
        <v>0</v>
      </c>
      <c r="M220" s="225"/>
      <c r="N220" s="236"/>
    </row>
    <row r="221" spans="2:14" s="6" customFormat="1" ht="12.75" hidden="1" outlineLevel="7">
      <c r="B221" s="87" t="s">
        <v>285</v>
      </c>
      <c r="C221" s="37"/>
      <c r="D221" s="38"/>
      <c r="E221" s="39"/>
      <c r="F221" s="102">
        <v>5</v>
      </c>
      <c r="G221" s="53"/>
      <c r="H221" s="67"/>
      <c r="I221" s="67"/>
      <c r="J221" s="210"/>
      <c r="K221" s="53"/>
      <c r="L221" s="67">
        <f t="shared" si="1"/>
        <v>0</v>
      </c>
      <c r="M221" s="225"/>
      <c r="N221" s="236"/>
    </row>
    <row r="222" spans="2:14" s="6" customFormat="1" ht="12.75" hidden="1" outlineLevel="7">
      <c r="B222" s="88" t="s">
        <v>210</v>
      </c>
      <c r="C222" s="37"/>
      <c r="D222" s="38"/>
      <c r="E222" s="39"/>
      <c r="F222" s="102">
        <v>5</v>
      </c>
      <c r="G222" s="53"/>
      <c r="H222" s="67"/>
      <c r="I222" s="67"/>
      <c r="J222" s="210"/>
      <c r="K222" s="53"/>
      <c r="L222" s="67">
        <f t="shared" si="1"/>
        <v>0</v>
      </c>
      <c r="M222" s="225"/>
      <c r="N222" s="236"/>
    </row>
    <row r="223" spans="2:14" s="6" customFormat="1" ht="12.75" hidden="1" outlineLevel="7">
      <c r="B223" s="89" t="s">
        <v>309</v>
      </c>
      <c r="C223" s="37"/>
      <c r="D223" s="38"/>
      <c r="E223" s="39"/>
      <c r="F223" s="102">
        <f>SUM(F224:F226)</f>
        <v>30</v>
      </c>
      <c r="G223" s="53"/>
      <c r="H223" s="67"/>
      <c r="I223" s="67"/>
      <c r="J223" s="210"/>
      <c r="K223" s="53"/>
      <c r="L223" s="67">
        <f t="shared" si="1"/>
        <v>0</v>
      </c>
      <c r="M223" s="225"/>
      <c r="N223" s="236"/>
    </row>
    <row r="224" spans="2:14" s="6" customFormat="1" ht="12.75" hidden="1" outlineLevel="7">
      <c r="B224" s="88" t="s">
        <v>310</v>
      </c>
      <c r="C224" s="37"/>
      <c r="D224" s="38"/>
      <c r="E224" s="39"/>
      <c r="F224" s="102">
        <v>10</v>
      </c>
      <c r="G224" s="53"/>
      <c r="H224" s="67"/>
      <c r="I224" s="67"/>
      <c r="J224" s="210"/>
      <c r="K224" s="53"/>
      <c r="L224" s="67">
        <f t="shared" si="1"/>
        <v>0</v>
      </c>
      <c r="M224" s="225"/>
      <c r="N224" s="236"/>
    </row>
    <row r="225" spans="2:14" s="6" customFormat="1" ht="12.75" hidden="1" outlineLevel="7">
      <c r="B225" s="88" t="s">
        <v>311</v>
      </c>
      <c r="C225" s="37"/>
      <c r="D225" s="38"/>
      <c r="E225" s="39"/>
      <c r="F225" s="102">
        <v>10</v>
      </c>
      <c r="G225" s="53"/>
      <c r="H225" s="67"/>
      <c r="I225" s="67"/>
      <c r="J225" s="210"/>
      <c r="K225" s="53"/>
      <c r="L225" s="67">
        <f t="shared" si="1"/>
        <v>0</v>
      </c>
      <c r="M225" s="225"/>
      <c r="N225" s="236"/>
    </row>
    <row r="226" spans="2:14" s="6" customFormat="1" ht="12.75" hidden="1" outlineLevel="7">
      <c r="B226" s="88" t="s">
        <v>312</v>
      </c>
      <c r="C226" s="37"/>
      <c r="D226" s="38"/>
      <c r="E226" s="39"/>
      <c r="F226" s="102">
        <v>10</v>
      </c>
      <c r="G226" s="53"/>
      <c r="H226" s="67"/>
      <c r="I226" s="67"/>
      <c r="J226" s="210"/>
      <c r="K226" s="53"/>
      <c r="L226" s="67">
        <f t="shared" si="1"/>
        <v>0</v>
      </c>
      <c r="M226" s="225"/>
      <c r="N226" s="236"/>
    </row>
    <row r="227" spans="1:14" s="6" customFormat="1" ht="12.75" hidden="1" outlineLevel="5">
      <c r="A227" s="6" t="s">
        <v>33</v>
      </c>
      <c r="B227" s="90" t="s">
        <v>34</v>
      </c>
      <c r="C227" s="37">
        <v>36619.33333333333</v>
      </c>
      <c r="D227" s="38">
        <v>36700.70833333333</v>
      </c>
      <c r="E227" s="39">
        <v>60</v>
      </c>
      <c r="F227" s="102" t="s">
        <v>227</v>
      </c>
      <c r="G227" s="53"/>
      <c r="H227" s="67"/>
      <c r="I227" s="67">
        <f>I228+I234+I238</f>
        <v>25100</v>
      </c>
      <c r="J227" s="210"/>
      <c r="K227" s="53"/>
      <c r="L227" s="67">
        <f t="shared" si="1"/>
        <v>25100</v>
      </c>
      <c r="M227" s="225"/>
      <c r="N227" s="236">
        <f>L227</f>
        <v>25100</v>
      </c>
    </row>
    <row r="228" spans="2:14" s="6" customFormat="1" ht="12.75" hidden="1" outlineLevel="6">
      <c r="B228" s="81" t="s">
        <v>314</v>
      </c>
      <c r="C228" s="37">
        <v>36619.33333333333</v>
      </c>
      <c r="D228" s="38">
        <v>36700.70833333333</v>
      </c>
      <c r="E228" s="39"/>
      <c r="F228" s="102" t="s">
        <v>227</v>
      </c>
      <c r="G228" s="53">
        <v>5</v>
      </c>
      <c r="H228" s="67"/>
      <c r="I228" s="67">
        <f>G228*H233</f>
        <v>7500</v>
      </c>
      <c r="J228" s="210"/>
      <c r="K228" s="53"/>
      <c r="L228" s="66">
        <f t="shared" si="1"/>
        <v>7500</v>
      </c>
      <c r="M228" s="225"/>
      <c r="N228" s="236"/>
    </row>
    <row r="229" spans="2:14" s="6" customFormat="1" ht="12.75" hidden="1" outlineLevel="7">
      <c r="B229" s="89" t="s">
        <v>315</v>
      </c>
      <c r="C229" s="37"/>
      <c r="D229" s="38"/>
      <c r="E229" s="39"/>
      <c r="F229" s="102"/>
      <c r="G229" s="53"/>
      <c r="H229" s="67">
        <v>500</v>
      </c>
      <c r="I229" s="67"/>
      <c r="J229" s="210"/>
      <c r="K229" s="53"/>
      <c r="L229" s="66">
        <f t="shared" si="1"/>
        <v>0</v>
      </c>
      <c r="M229" s="225"/>
      <c r="N229" s="236"/>
    </row>
    <row r="230" spans="2:14" s="6" customFormat="1" ht="12.75" hidden="1" outlineLevel="7">
      <c r="B230" s="89" t="s">
        <v>231</v>
      </c>
      <c r="C230" s="37"/>
      <c r="D230" s="38"/>
      <c r="E230" s="39"/>
      <c r="F230" s="102"/>
      <c r="G230" s="53"/>
      <c r="H230" s="67">
        <v>300</v>
      </c>
      <c r="I230" s="67"/>
      <c r="J230" s="210"/>
      <c r="K230" s="53"/>
      <c r="L230" s="66">
        <f t="shared" si="1"/>
        <v>0</v>
      </c>
      <c r="M230" s="225"/>
      <c r="N230" s="236"/>
    </row>
    <row r="231" spans="2:14" s="6" customFormat="1" ht="12.75" hidden="1" outlineLevel="7">
      <c r="B231" s="89" t="s">
        <v>296</v>
      </c>
      <c r="C231" s="37"/>
      <c r="D231" s="38"/>
      <c r="E231" s="39"/>
      <c r="F231" s="102"/>
      <c r="G231" s="53"/>
      <c r="H231" s="67">
        <v>400</v>
      </c>
      <c r="I231" s="67"/>
      <c r="J231" s="210"/>
      <c r="K231" s="53"/>
      <c r="L231" s="66">
        <f t="shared" si="1"/>
        <v>0</v>
      </c>
      <c r="M231" s="225"/>
      <c r="N231" s="236"/>
    </row>
    <row r="232" spans="2:14" s="6" customFormat="1" ht="12.75" hidden="1" outlineLevel="7">
      <c r="B232" s="89" t="s">
        <v>265</v>
      </c>
      <c r="C232" s="37"/>
      <c r="D232" s="38"/>
      <c r="E232" s="39"/>
      <c r="F232" s="102"/>
      <c r="G232" s="53"/>
      <c r="H232" s="67">
        <v>300</v>
      </c>
      <c r="I232" s="67"/>
      <c r="J232" s="210"/>
      <c r="K232" s="53"/>
      <c r="L232" s="66">
        <f t="shared" si="1"/>
        <v>0</v>
      </c>
      <c r="M232" s="225"/>
      <c r="N232" s="236"/>
    </row>
    <row r="233" spans="2:14" s="6" customFormat="1" ht="12.75" hidden="1" outlineLevel="7">
      <c r="B233" s="89" t="s">
        <v>237</v>
      </c>
      <c r="C233" s="37"/>
      <c r="D233" s="38"/>
      <c r="E233" s="39"/>
      <c r="F233" s="102"/>
      <c r="G233" s="53"/>
      <c r="H233" s="67">
        <f>SUM(H229:H232)</f>
        <v>1500</v>
      </c>
      <c r="I233" s="67"/>
      <c r="J233" s="210"/>
      <c r="K233" s="53"/>
      <c r="L233" s="66">
        <f t="shared" si="1"/>
        <v>0</v>
      </c>
      <c r="M233" s="225"/>
      <c r="N233" s="236"/>
    </row>
    <row r="234" spans="2:14" s="6" customFormat="1" ht="12.75" hidden="1" outlineLevel="6">
      <c r="B234" s="81" t="s">
        <v>316</v>
      </c>
      <c r="C234" s="37"/>
      <c r="D234" s="38"/>
      <c r="E234" s="39"/>
      <c r="F234" s="102"/>
      <c r="G234" s="53">
        <v>3</v>
      </c>
      <c r="H234" s="67"/>
      <c r="I234" s="67">
        <f>G234*H237</f>
        <v>12600</v>
      </c>
      <c r="J234" s="210"/>
      <c r="K234" s="53"/>
      <c r="L234" s="66">
        <f t="shared" si="1"/>
        <v>12600</v>
      </c>
      <c r="M234" s="225"/>
      <c r="N234" s="236"/>
    </row>
    <row r="235" spans="2:14" s="6" customFormat="1" ht="12.75" hidden="1" outlineLevel="7">
      <c r="B235" s="89" t="s">
        <v>294</v>
      </c>
      <c r="C235" s="37"/>
      <c r="D235" s="38"/>
      <c r="E235" s="39"/>
      <c r="F235" s="102"/>
      <c r="G235" s="53"/>
      <c r="H235" s="67">
        <v>2000</v>
      </c>
      <c r="I235" s="67"/>
      <c r="J235" s="210"/>
      <c r="K235" s="53"/>
      <c r="L235" s="66">
        <f t="shared" si="1"/>
        <v>0</v>
      </c>
      <c r="M235" s="225"/>
      <c r="N235" s="236"/>
    </row>
    <row r="236" spans="2:14" s="6" customFormat="1" ht="12.75" hidden="1" outlineLevel="7">
      <c r="B236" s="89" t="s">
        <v>316</v>
      </c>
      <c r="C236" s="37"/>
      <c r="D236" s="38"/>
      <c r="E236" s="39"/>
      <c r="F236" s="102"/>
      <c r="G236" s="53"/>
      <c r="H236" s="67">
        <v>2200</v>
      </c>
      <c r="I236" s="67"/>
      <c r="J236" s="210"/>
      <c r="K236" s="53"/>
      <c r="L236" s="66">
        <f t="shared" si="1"/>
        <v>0</v>
      </c>
      <c r="M236" s="225"/>
      <c r="N236" s="236"/>
    </row>
    <row r="237" spans="2:14" s="6" customFormat="1" ht="12.75" hidden="1" outlineLevel="7">
      <c r="B237" s="89" t="s">
        <v>237</v>
      </c>
      <c r="C237" s="37"/>
      <c r="D237" s="38"/>
      <c r="E237" s="39"/>
      <c r="F237" s="102"/>
      <c r="G237" s="53"/>
      <c r="H237" s="67">
        <f>SUM(H235:H236)</f>
        <v>4200</v>
      </c>
      <c r="I237" s="67"/>
      <c r="J237" s="210"/>
      <c r="K237" s="53"/>
      <c r="L237" s="66">
        <f t="shared" si="1"/>
        <v>0</v>
      </c>
      <c r="M237" s="225"/>
      <c r="N237" s="236"/>
    </row>
    <row r="238" spans="2:14" s="6" customFormat="1" ht="12.75" hidden="1" outlineLevel="6">
      <c r="B238" s="81" t="s">
        <v>317</v>
      </c>
      <c r="C238" s="37"/>
      <c r="D238" s="38"/>
      <c r="E238" s="39"/>
      <c r="F238" s="102"/>
      <c r="G238" s="53">
        <v>1</v>
      </c>
      <c r="I238" s="67">
        <v>5000</v>
      </c>
      <c r="J238" s="210"/>
      <c r="K238" s="53"/>
      <c r="L238" s="66">
        <f t="shared" si="1"/>
        <v>5000</v>
      </c>
      <c r="M238" s="225"/>
      <c r="N238" s="236"/>
    </row>
    <row r="239" spans="1:14" s="9" customFormat="1" ht="12.75" hidden="1" outlineLevel="4" collapsed="1">
      <c r="A239" s="9" t="s">
        <v>38</v>
      </c>
      <c r="B239" s="86" t="s">
        <v>39</v>
      </c>
      <c r="C239" s="34">
        <v>36901.33333333333</v>
      </c>
      <c r="D239" s="35">
        <v>37124.70833333333</v>
      </c>
      <c r="E239" s="36">
        <v>160</v>
      </c>
      <c r="F239" s="101">
        <f>F240</f>
        <v>60</v>
      </c>
      <c r="G239" s="52"/>
      <c r="H239" s="66"/>
      <c r="I239" s="66">
        <v>60248.97</v>
      </c>
      <c r="J239" s="66">
        <v>60248.97</v>
      </c>
      <c r="K239" s="52"/>
      <c r="L239" s="66">
        <f t="shared" si="1"/>
        <v>60248.97</v>
      </c>
      <c r="M239" s="217"/>
      <c r="N239" s="235"/>
    </row>
    <row r="240" spans="1:14" s="6" customFormat="1" ht="12.75" hidden="1" outlineLevel="5">
      <c r="A240" s="6" t="s">
        <v>40</v>
      </c>
      <c r="B240" s="90" t="s">
        <v>41</v>
      </c>
      <c r="C240" s="37">
        <v>36901.33333333333</v>
      </c>
      <c r="D240" s="38">
        <v>37124.70833333333</v>
      </c>
      <c r="E240" s="39">
        <v>160</v>
      </c>
      <c r="F240" s="102">
        <f>F242</f>
        <v>60</v>
      </c>
      <c r="G240" s="53"/>
      <c r="H240" s="67"/>
      <c r="I240" s="67">
        <f>I242+I254</f>
        <v>29736</v>
      </c>
      <c r="J240" s="210"/>
      <c r="K240" s="53"/>
      <c r="L240" s="67">
        <f t="shared" si="1"/>
        <v>29736</v>
      </c>
      <c r="M240" s="225"/>
      <c r="N240" s="236">
        <v>30248.98</v>
      </c>
    </row>
    <row r="241" spans="2:14" s="6" customFormat="1" ht="12.75" hidden="1" outlineLevel="6">
      <c r="B241" s="81" t="s">
        <v>178</v>
      </c>
      <c r="C241" s="37">
        <v>36901.33333333333</v>
      </c>
      <c r="D241" s="38">
        <v>37124.70833333333</v>
      </c>
      <c r="E241" s="39"/>
      <c r="F241" s="102">
        <v>80</v>
      </c>
      <c r="G241" s="53"/>
      <c r="H241" s="67"/>
      <c r="I241" s="67">
        <v>0</v>
      </c>
      <c r="J241" s="210"/>
      <c r="K241" s="53"/>
      <c r="L241" s="67">
        <f t="shared" si="1"/>
        <v>0</v>
      </c>
      <c r="M241" s="225"/>
      <c r="N241" s="236"/>
    </row>
    <row r="242" spans="2:14" s="6" customFormat="1" ht="12.75" hidden="1" outlineLevel="6">
      <c r="B242" s="81" t="s">
        <v>1773</v>
      </c>
      <c r="C242" s="37">
        <v>36901.33333333333</v>
      </c>
      <c r="D242" s="38">
        <v>37124.70833333333</v>
      </c>
      <c r="E242" s="39"/>
      <c r="F242" s="102">
        <f>F243+F249</f>
        <v>60</v>
      </c>
      <c r="G242" s="53"/>
      <c r="H242" s="67">
        <f>$F$6</f>
        <v>422.8</v>
      </c>
      <c r="I242" s="67">
        <f>F242*H242</f>
        <v>25368</v>
      </c>
      <c r="J242" s="210"/>
      <c r="K242" s="53"/>
      <c r="L242" s="67">
        <f t="shared" si="1"/>
        <v>25368</v>
      </c>
      <c r="M242" s="225"/>
      <c r="N242" s="236"/>
    </row>
    <row r="243" spans="2:14" s="6" customFormat="1" ht="12.75" hidden="1" outlineLevel="7" collapsed="1">
      <c r="B243" s="89" t="s">
        <v>318</v>
      </c>
      <c r="C243" s="37"/>
      <c r="D243" s="38"/>
      <c r="E243" s="39"/>
      <c r="F243" s="102">
        <f>SUM(F244:F248)</f>
        <v>40</v>
      </c>
      <c r="G243" s="53"/>
      <c r="H243" s="67"/>
      <c r="I243" s="67"/>
      <c r="J243" s="210"/>
      <c r="K243" s="53"/>
      <c r="L243" s="67">
        <f t="shared" si="1"/>
        <v>0</v>
      </c>
      <c r="M243" s="225"/>
      <c r="N243" s="236"/>
    </row>
    <row r="244" spans="2:14" s="6" customFormat="1" ht="12.75" hidden="1" outlineLevel="7">
      <c r="B244" s="88" t="s">
        <v>283</v>
      </c>
      <c r="C244" s="37"/>
      <c r="D244" s="38"/>
      <c r="E244" s="39"/>
      <c r="F244" s="102">
        <v>5</v>
      </c>
      <c r="G244" s="53"/>
      <c r="H244" s="67"/>
      <c r="I244" s="67"/>
      <c r="J244" s="210"/>
      <c r="K244" s="53"/>
      <c r="L244" s="67">
        <f t="shared" si="1"/>
        <v>0</v>
      </c>
      <c r="M244" s="225"/>
      <c r="N244" s="236"/>
    </row>
    <row r="245" spans="2:14" s="6" customFormat="1" ht="12.75" hidden="1" outlineLevel="7">
      <c r="B245" s="88" t="s">
        <v>319</v>
      </c>
      <c r="C245" s="37"/>
      <c r="D245" s="38"/>
      <c r="E245" s="39"/>
      <c r="F245" s="102">
        <v>10</v>
      </c>
      <c r="G245" s="53"/>
      <c r="H245" s="67"/>
      <c r="I245" s="67"/>
      <c r="J245" s="210"/>
      <c r="K245" s="53"/>
      <c r="L245" s="67">
        <f t="shared" si="1"/>
        <v>0</v>
      </c>
      <c r="M245" s="225"/>
      <c r="N245" s="236"/>
    </row>
    <row r="246" spans="2:14" s="6" customFormat="1" ht="12.75" hidden="1" outlineLevel="7">
      <c r="B246" s="88" t="s">
        <v>320</v>
      </c>
      <c r="C246" s="37"/>
      <c r="D246" s="38"/>
      <c r="E246" s="39"/>
      <c r="F246" s="102">
        <v>10</v>
      </c>
      <c r="G246" s="53"/>
      <c r="H246" s="67"/>
      <c r="I246" s="67"/>
      <c r="J246" s="210"/>
      <c r="K246" s="53"/>
      <c r="L246" s="67">
        <f t="shared" si="1"/>
        <v>0</v>
      </c>
      <c r="M246" s="225"/>
      <c r="N246" s="236"/>
    </row>
    <row r="247" spans="2:14" s="6" customFormat="1" ht="12.75" hidden="1" outlineLevel="7">
      <c r="B247" s="88" t="s">
        <v>285</v>
      </c>
      <c r="C247" s="37"/>
      <c r="D247" s="38"/>
      <c r="E247" s="39"/>
      <c r="F247" s="102">
        <v>5</v>
      </c>
      <c r="G247" s="53"/>
      <c r="H247" s="67"/>
      <c r="I247" s="67"/>
      <c r="J247" s="210"/>
      <c r="K247" s="53"/>
      <c r="L247" s="67">
        <f t="shared" si="1"/>
        <v>0</v>
      </c>
      <c r="M247" s="225"/>
      <c r="N247" s="236"/>
    </row>
    <row r="248" spans="2:14" s="6" customFormat="1" ht="12.75" hidden="1" outlineLevel="7">
      <c r="B248" s="88" t="s">
        <v>210</v>
      </c>
      <c r="C248" s="37"/>
      <c r="D248" s="38"/>
      <c r="E248" s="39"/>
      <c r="F248" s="102">
        <v>10</v>
      </c>
      <c r="G248" s="53"/>
      <c r="H248" s="67"/>
      <c r="I248" s="67"/>
      <c r="J248" s="210"/>
      <c r="K248" s="53"/>
      <c r="L248" s="67">
        <f t="shared" si="1"/>
        <v>0</v>
      </c>
      <c r="M248" s="225"/>
      <c r="N248" s="236"/>
    </row>
    <row r="249" spans="2:14" s="6" customFormat="1" ht="12.75" hidden="1" outlineLevel="7" collapsed="1">
      <c r="B249" s="89" t="s">
        <v>321</v>
      </c>
      <c r="C249" s="37"/>
      <c r="D249" s="38"/>
      <c r="E249" s="39"/>
      <c r="F249" s="102">
        <f>SUM(F250:F253)</f>
        <v>20</v>
      </c>
      <c r="G249" s="53"/>
      <c r="H249" s="67"/>
      <c r="I249" s="67"/>
      <c r="J249" s="210"/>
      <c r="K249" s="53"/>
      <c r="L249" s="67">
        <f t="shared" si="1"/>
        <v>0</v>
      </c>
      <c r="M249" s="225"/>
      <c r="N249" s="236"/>
    </row>
    <row r="250" spans="2:14" s="6" customFormat="1" ht="12.75" hidden="1" outlineLevel="7">
      <c r="B250" s="88" t="s">
        <v>283</v>
      </c>
      <c r="C250" s="37"/>
      <c r="D250" s="38"/>
      <c r="E250" s="39"/>
      <c r="F250" s="102">
        <v>5</v>
      </c>
      <c r="G250" s="53"/>
      <c r="H250" s="67"/>
      <c r="I250" s="67"/>
      <c r="J250" s="210"/>
      <c r="K250" s="53"/>
      <c r="L250" s="67">
        <f t="shared" si="1"/>
        <v>0</v>
      </c>
      <c r="M250" s="225"/>
      <c r="N250" s="236"/>
    </row>
    <row r="251" spans="2:14" s="6" customFormat="1" ht="12.75" hidden="1" outlineLevel="7">
      <c r="B251" s="88" t="s">
        <v>322</v>
      </c>
      <c r="C251" s="37"/>
      <c r="D251" s="38"/>
      <c r="E251" s="39"/>
      <c r="F251" s="102">
        <v>5</v>
      </c>
      <c r="G251" s="53"/>
      <c r="H251" s="67"/>
      <c r="I251" s="67"/>
      <c r="J251" s="210"/>
      <c r="K251" s="53"/>
      <c r="L251" s="67">
        <f t="shared" si="1"/>
        <v>0</v>
      </c>
      <c r="M251" s="225"/>
      <c r="N251" s="236"/>
    </row>
    <row r="252" spans="2:14" s="6" customFormat="1" ht="12.75" hidden="1" outlineLevel="7">
      <c r="B252" s="88" t="s">
        <v>285</v>
      </c>
      <c r="C252" s="37"/>
      <c r="D252" s="38"/>
      <c r="E252" s="39"/>
      <c r="F252" s="102">
        <v>5</v>
      </c>
      <c r="G252" s="53"/>
      <c r="H252" s="67"/>
      <c r="I252" s="67"/>
      <c r="J252" s="210"/>
      <c r="K252" s="53"/>
      <c r="L252" s="67">
        <f t="shared" si="1"/>
        <v>0</v>
      </c>
      <c r="M252" s="225"/>
      <c r="N252" s="236"/>
    </row>
    <row r="253" spans="2:14" s="6" customFormat="1" ht="12.75" hidden="1" outlineLevel="7">
      <c r="B253" s="88" t="s">
        <v>210</v>
      </c>
      <c r="C253" s="37"/>
      <c r="D253" s="38"/>
      <c r="E253" s="39"/>
      <c r="F253" s="102">
        <v>5</v>
      </c>
      <c r="G253" s="53"/>
      <c r="H253" s="67"/>
      <c r="I253" s="67"/>
      <c r="J253" s="210"/>
      <c r="K253" s="53"/>
      <c r="L253" s="67">
        <f t="shared" si="1"/>
        <v>0</v>
      </c>
      <c r="M253" s="225"/>
      <c r="N253" s="236"/>
    </row>
    <row r="254" spans="2:14" s="6" customFormat="1" ht="12.75" hidden="1" outlineLevel="6">
      <c r="B254" s="81" t="s">
        <v>324</v>
      </c>
      <c r="C254" s="37">
        <v>36901.33333333333</v>
      </c>
      <c r="D254" s="38">
        <v>37124.70833333333</v>
      </c>
      <c r="E254" s="39"/>
      <c r="F254" s="102">
        <f>F255</f>
        <v>20</v>
      </c>
      <c r="G254" s="53"/>
      <c r="H254" s="67">
        <f>$F$4</f>
        <v>218.4</v>
      </c>
      <c r="I254" s="67">
        <f>F254*H254</f>
        <v>4368</v>
      </c>
      <c r="J254" s="210"/>
      <c r="K254" s="53"/>
      <c r="L254" s="67">
        <f t="shared" si="1"/>
        <v>4368</v>
      </c>
      <c r="M254" s="225"/>
      <c r="N254" s="236"/>
    </row>
    <row r="255" spans="2:14" s="6" customFormat="1" ht="12.75" hidden="1" outlineLevel="7">
      <c r="B255" s="89" t="s">
        <v>323</v>
      </c>
      <c r="C255" s="37"/>
      <c r="D255" s="38"/>
      <c r="E255" s="39"/>
      <c r="F255" s="102">
        <v>20</v>
      </c>
      <c r="G255" s="53"/>
      <c r="H255" s="67"/>
      <c r="I255" s="67"/>
      <c r="J255" s="210"/>
      <c r="K255" s="53"/>
      <c r="L255" s="67">
        <f t="shared" si="1"/>
        <v>0</v>
      </c>
      <c r="M255" s="225"/>
      <c r="N255" s="236"/>
    </row>
    <row r="256" spans="1:14" s="6" customFormat="1" ht="12.75" hidden="1" outlineLevel="5">
      <c r="A256" s="6" t="s">
        <v>42</v>
      </c>
      <c r="B256" s="90" t="s">
        <v>43</v>
      </c>
      <c r="C256" s="37">
        <v>36901.33333333333</v>
      </c>
      <c r="D256" s="38">
        <v>36948.444444444445</v>
      </c>
      <c r="E256" s="39">
        <v>33.33</v>
      </c>
      <c r="F256" s="102" t="s">
        <v>227</v>
      </c>
      <c r="G256" s="53"/>
      <c r="H256" s="67"/>
      <c r="I256" s="67">
        <f>I257+I258+I259</f>
        <v>30000</v>
      </c>
      <c r="J256" s="210"/>
      <c r="K256" s="53"/>
      <c r="L256" s="67">
        <f t="shared" si="1"/>
        <v>30000</v>
      </c>
      <c r="M256" s="225"/>
      <c r="N256" s="236">
        <f>L256</f>
        <v>30000</v>
      </c>
    </row>
    <row r="257" spans="2:14" s="6" customFormat="1" ht="12.75" hidden="1" outlineLevel="6">
      <c r="B257" s="81" t="s">
        <v>294</v>
      </c>
      <c r="C257" s="37"/>
      <c r="D257" s="38"/>
      <c r="E257" s="39"/>
      <c r="F257" s="102">
        <v>5</v>
      </c>
      <c r="G257" s="53"/>
      <c r="H257" s="67">
        <v>2500</v>
      </c>
      <c r="I257" s="67">
        <f>F257*H257</f>
        <v>12500</v>
      </c>
      <c r="J257" s="210"/>
      <c r="K257" s="53"/>
      <c r="L257" s="66">
        <f t="shared" si="1"/>
        <v>12500</v>
      </c>
      <c r="M257" s="225"/>
      <c r="N257" s="236"/>
    </row>
    <row r="258" spans="2:14" s="6" customFormat="1" ht="12.75" hidden="1" outlineLevel="6">
      <c r="B258" s="81" t="s">
        <v>316</v>
      </c>
      <c r="C258" s="37">
        <v>36901.33333333333</v>
      </c>
      <c r="D258" s="38">
        <v>36948.444444444445</v>
      </c>
      <c r="E258" s="39"/>
      <c r="F258" s="102">
        <v>3</v>
      </c>
      <c r="G258" s="53"/>
      <c r="H258" s="67">
        <v>2500</v>
      </c>
      <c r="I258" s="67">
        <f>H258*F258</f>
        <v>7500</v>
      </c>
      <c r="J258" s="210"/>
      <c r="K258" s="53"/>
      <c r="L258" s="66">
        <f t="shared" si="1"/>
        <v>7500</v>
      </c>
      <c r="M258" s="225"/>
      <c r="N258" s="236"/>
    </row>
    <row r="259" spans="2:14" s="6" customFormat="1" ht="12.75" hidden="1" outlineLevel="6">
      <c r="B259" s="81" t="s">
        <v>321</v>
      </c>
      <c r="C259" s="37"/>
      <c r="D259" s="38"/>
      <c r="E259" s="39"/>
      <c r="F259" s="102">
        <v>5</v>
      </c>
      <c r="G259" s="53"/>
      <c r="H259" s="67">
        <v>2000</v>
      </c>
      <c r="I259" s="67">
        <f>H259*F259</f>
        <v>10000</v>
      </c>
      <c r="J259" s="210"/>
      <c r="K259" s="53"/>
      <c r="L259" s="66">
        <f t="shared" si="1"/>
        <v>10000</v>
      </c>
      <c r="M259" s="225"/>
      <c r="N259" s="236"/>
    </row>
    <row r="260" spans="1:14" s="9" customFormat="1" ht="12.75" hidden="1" outlineLevel="4" collapsed="1">
      <c r="A260" s="9" t="s">
        <v>44</v>
      </c>
      <c r="B260" s="86" t="s">
        <v>45</v>
      </c>
      <c r="C260" s="34">
        <v>37316.33333333333</v>
      </c>
      <c r="D260" s="35">
        <v>37483.70833333333</v>
      </c>
      <c r="E260" s="36">
        <v>120</v>
      </c>
      <c r="F260" s="101">
        <f>F261</f>
        <v>40</v>
      </c>
      <c r="G260" s="52"/>
      <c r="H260" s="66"/>
      <c r="I260" s="66">
        <f>I261+I275</f>
        <v>42280</v>
      </c>
      <c r="J260" s="209">
        <v>42280</v>
      </c>
      <c r="K260" s="52"/>
      <c r="L260" s="66">
        <f t="shared" si="1"/>
        <v>42280</v>
      </c>
      <c r="M260" s="217"/>
      <c r="N260" s="235"/>
    </row>
    <row r="261" spans="1:14" s="6" customFormat="1" ht="12.75" hidden="1" outlineLevel="5">
      <c r="A261" s="6" t="s">
        <v>46</v>
      </c>
      <c r="B261" s="90" t="s">
        <v>41</v>
      </c>
      <c r="C261" s="37">
        <v>37316.33333333333</v>
      </c>
      <c r="D261" s="38">
        <v>37483.70833333333</v>
      </c>
      <c r="E261" s="39">
        <v>80</v>
      </c>
      <c r="F261" s="102">
        <f>F262</f>
        <v>40</v>
      </c>
      <c r="G261" s="53"/>
      <c r="H261" s="67"/>
      <c r="I261" s="67">
        <f>I263+I273</f>
        <v>21280</v>
      </c>
      <c r="J261" s="210"/>
      <c r="K261" s="53"/>
      <c r="L261" s="67">
        <f t="shared" si="1"/>
        <v>21280</v>
      </c>
      <c r="M261" s="225"/>
      <c r="N261" s="236">
        <f>L261</f>
        <v>21280</v>
      </c>
    </row>
    <row r="262" spans="2:14" s="6" customFormat="1" ht="12.75" hidden="1" outlineLevel="6">
      <c r="B262" s="81" t="s">
        <v>178</v>
      </c>
      <c r="C262" s="37">
        <v>37316.33333333333</v>
      </c>
      <c r="D262" s="38">
        <v>37483.70833333333</v>
      </c>
      <c r="E262" s="39"/>
      <c r="F262" s="102">
        <v>40</v>
      </c>
      <c r="G262" s="53"/>
      <c r="H262" s="67"/>
      <c r="I262" s="67">
        <v>0</v>
      </c>
      <c r="J262" s="210"/>
      <c r="K262" s="53"/>
      <c r="L262" s="67">
        <f t="shared" si="1"/>
        <v>0</v>
      </c>
      <c r="M262" s="225"/>
      <c r="N262" s="236"/>
    </row>
    <row r="263" spans="2:14" s="6" customFormat="1" ht="12.75" hidden="1" outlineLevel="6">
      <c r="B263" s="81" t="s">
        <v>1773</v>
      </c>
      <c r="C263" s="37">
        <v>37316.33333333333</v>
      </c>
      <c r="D263" s="38">
        <v>37483.70833333333</v>
      </c>
      <c r="E263" s="39"/>
      <c r="F263" s="102">
        <f>F264+F269</f>
        <v>40</v>
      </c>
      <c r="G263" s="53"/>
      <c r="H263" s="67">
        <f>$F$7</f>
        <v>422.8</v>
      </c>
      <c r="I263" s="67">
        <f>F263*H263</f>
        <v>16912</v>
      </c>
      <c r="J263" s="210"/>
      <c r="K263" s="53"/>
      <c r="L263" s="67">
        <f t="shared" si="1"/>
        <v>16912</v>
      </c>
      <c r="M263" s="225"/>
      <c r="N263" s="236"/>
    </row>
    <row r="264" spans="2:14" s="6" customFormat="1" ht="12.75" hidden="1" outlineLevel="7" collapsed="1">
      <c r="B264" s="89" t="s">
        <v>318</v>
      </c>
      <c r="C264" s="37"/>
      <c r="D264" s="38"/>
      <c r="E264" s="39"/>
      <c r="F264" s="102">
        <f>SUM(F265:F268)</f>
        <v>20</v>
      </c>
      <c r="G264" s="53"/>
      <c r="H264" s="67"/>
      <c r="I264" s="67"/>
      <c r="J264" s="210"/>
      <c r="K264" s="53"/>
      <c r="L264" s="67">
        <f t="shared" si="1"/>
        <v>0</v>
      </c>
      <c r="M264" s="225"/>
      <c r="N264" s="236"/>
    </row>
    <row r="265" spans="2:14" s="6" customFormat="1" ht="12.75" hidden="1" outlineLevel="7">
      <c r="B265" s="88" t="s">
        <v>319</v>
      </c>
      <c r="C265" s="37"/>
      <c r="D265" s="38"/>
      <c r="E265" s="39"/>
      <c r="F265" s="102">
        <v>5</v>
      </c>
      <c r="G265" s="53"/>
      <c r="H265" s="67"/>
      <c r="I265" s="67"/>
      <c r="J265" s="210"/>
      <c r="K265" s="53"/>
      <c r="L265" s="67">
        <f t="shared" si="1"/>
        <v>0</v>
      </c>
      <c r="M265" s="225"/>
      <c r="N265" s="236"/>
    </row>
    <row r="266" spans="2:14" s="6" customFormat="1" ht="12.75" hidden="1" outlineLevel="7">
      <c r="B266" s="88" t="s">
        <v>320</v>
      </c>
      <c r="C266" s="37"/>
      <c r="D266" s="38"/>
      <c r="E266" s="39"/>
      <c r="F266" s="102">
        <v>5</v>
      </c>
      <c r="G266" s="53"/>
      <c r="H266" s="67"/>
      <c r="I266" s="67"/>
      <c r="J266" s="210"/>
      <c r="K266" s="53"/>
      <c r="L266" s="67">
        <f t="shared" si="1"/>
        <v>0</v>
      </c>
      <c r="M266" s="225"/>
      <c r="N266" s="236"/>
    </row>
    <row r="267" spans="2:14" s="6" customFormat="1" ht="12.75" hidden="1" outlineLevel="7">
      <c r="B267" s="88" t="s">
        <v>285</v>
      </c>
      <c r="C267" s="37"/>
      <c r="D267" s="38"/>
      <c r="E267" s="39"/>
      <c r="F267" s="102">
        <v>5</v>
      </c>
      <c r="G267" s="53"/>
      <c r="H267" s="67"/>
      <c r="I267" s="67"/>
      <c r="J267" s="210"/>
      <c r="K267" s="53"/>
      <c r="L267" s="67">
        <f t="shared" si="1"/>
        <v>0</v>
      </c>
      <c r="M267" s="225"/>
      <c r="N267" s="236"/>
    </row>
    <row r="268" spans="2:14" s="6" customFormat="1" ht="12.75" hidden="1" outlineLevel="7">
      <c r="B268" s="88" t="s">
        <v>210</v>
      </c>
      <c r="C268" s="37"/>
      <c r="D268" s="38"/>
      <c r="E268" s="39"/>
      <c r="F268" s="102">
        <v>5</v>
      </c>
      <c r="G268" s="53"/>
      <c r="H268" s="67"/>
      <c r="I268" s="67"/>
      <c r="J268" s="210"/>
      <c r="K268" s="53"/>
      <c r="L268" s="67">
        <f t="shared" si="1"/>
        <v>0</v>
      </c>
      <c r="M268" s="225"/>
      <c r="N268" s="236"/>
    </row>
    <row r="269" spans="2:14" s="6" customFormat="1" ht="12.75" hidden="1" outlineLevel="7" collapsed="1">
      <c r="B269" s="89" t="s">
        <v>321</v>
      </c>
      <c r="C269" s="37"/>
      <c r="D269" s="38"/>
      <c r="E269" s="39"/>
      <c r="F269" s="102">
        <f>SUM(F270:F272)</f>
        <v>20</v>
      </c>
      <c r="G269" s="53"/>
      <c r="H269" s="67"/>
      <c r="I269" s="67"/>
      <c r="J269" s="210"/>
      <c r="K269" s="53"/>
      <c r="L269" s="67">
        <f t="shared" si="1"/>
        <v>0</v>
      </c>
      <c r="M269" s="225"/>
      <c r="N269" s="236"/>
    </row>
    <row r="270" spans="2:14" s="6" customFormat="1" ht="12.75" hidden="1" outlineLevel="7">
      <c r="B270" s="88" t="s">
        <v>322</v>
      </c>
      <c r="C270" s="37"/>
      <c r="D270" s="38"/>
      <c r="E270" s="39"/>
      <c r="F270" s="102">
        <v>5</v>
      </c>
      <c r="G270" s="53"/>
      <c r="H270" s="67"/>
      <c r="I270" s="67"/>
      <c r="J270" s="210"/>
      <c r="K270" s="53"/>
      <c r="L270" s="67">
        <f t="shared" si="1"/>
        <v>0</v>
      </c>
      <c r="M270" s="225"/>
      <c r="N270" s="236"/>
    </row>
    <row r="271" spans="2:14" s="6" customFormat="1" ht="12.75" hidden="1" outlineLevel="7">
      <c r="B271" s="88" t="s">
        <v>285</v>
      </c>
      <c r="C271" s="37"/>
      <c r="D271" s="38"/>
      <c r="E271" s="39"/>
      <c r="F271" s="102">
        <v>5</v>
      </c>
      <c r="G271" s="53"/>
      <c r="H271" s="67"/>
      <c r="I271" s="67"/>
      <c r="J271" s="210"/>
      <c r="K271" s="53"/>
      <c r="L271" s="67">
        <f t="shared" si="1"/>
        <v>0</v>
      </c>
      <c r="M271" s="225"/>
      <c r="N271" s="236"/>
    </row>
    <row r="272" spans="2:14" s="6" customFormat="1" ht="12.75" hidden="1" outlineLevel="7">
      <c r="B272" s="88" t="s">
        <v>210</v>
      </c>
      <c r="C272" s="37"/>
      <c r="D272" s="38"/>
      <c r="E272" s="39"/>
      <c r="F272" s="102">
        <v>10</v>
      </c>
      <c r="G272" s="53"/>
      <c r="H272" s="67"/>
      <c r="I272" s="67"/>
      <c r="J272" s="210"/>
      <c r="K272" s="53"/>
      <c r="L272" s="67">
        <f t="shared" si="1"/>
        <v>0</v>
      </c>
      <c r="M272" s="225"/>
      <c r="N272" s="236"/>
    </row>
    <row r="273" spans="2:14" s="6" customFormat="1" ht="12.75" hidden="1" outlineLevel="6">
      <c r="B273" s="81" t="s">
        <v>177</v>
      </c>
      <c r="C273" s="37">
        <v>37316.33333333333</v>
      </c>
      <c r="D273" s="38">
        <v>37427.70833333333</v>
      </c>
      <c r="E273" s="39"/>
      <c r="F273" s="102">
        <f>F274</f>
        <v>20</v>
      </c>
      <c r="G273" s="53"/>
      <c r="H273" s="67">
        <f>$F$4</f>
        <v>218.4</v>
      </c>
      <c r="I273" s="67">
        <f>F273*H273</f>
        <v>4368</v>
      </c>
      <c r="J273" s="210"/>
      <c r="K273" s="53"/>
      <c r="L273" s="67">
        <f t="shared" si="1"/>
        <v>4368</v>
      </c>
      <c r="M273" s="225"/>
      <c r="N273" s="236"/>
    </row>
    <row r="274" spans="2:14" s="6" customFormat="1" ht="12.75" hidden="1" outlineLevel="7">
      <c r="B274" s="89" t="s">
        <v>323</v>
      </c>
      <c r="C274" s="37"/>
      <c r="D274" s="38"/>
      <c r="E274" s="39"/>
      <c r="F274" s="102">
        <v>20</v>
      </c>
      <c r="G274" s="53"/>
      <c r="H274" s="67"/>
      <c r="I274" s="67"/>
      <c r="J274" s="210"/>
      <c r="K274" s="53"/>
      <c r="L274" s="67">
        <f t="shared" si="1"/>
        <v>0</v>
      </c>
      <c r="M274" s="225"/>
      <c r="N274" s="236"/>
    </row>
    <row r="275" spans="1:14" s="6" customFormat="1" ht="12.75" hidden="1" outlineLevel="5">
      <c r="A275" s="6" t="s">
        <v>47</v>
      </c>
      <c r="B275" s="90" t="s">
        <v>43</v>
      </c>
      <c r="C275" s="37">
        <v>37316.33333333333</v>
      </c>
      <c r="D275" s="38">
        <v>37357.70833333333</v>
      </c>
      <c r="E275" s="39">
        <v>30</v>
      </c>
      <c r="F275" s="102" t="s">
        <v>325</v>
      </c>
      <c r="G275" s="53"/>
      <c r="H275" s="67"/>
      <c r="I275" s="67">
        <f>I276+I277+I278</f>
        <v>21000</v>
      </c>
      <c r="J275" s="210"/>
      <c r="K275" s="53"/>
      <c r="L275" s="67">
        <f t="shared" si="1"/>
        <v>21000</v>
      </c>
      <c r="M275" s="225"/>
      <c r="N275" s="236">
        <f>L275</f>
        <v>21000</v>
      </c>
    </row>
    <row r="276" spans="2:14" s="6" customFormat="1" ht="12.75" hidden="1" outlineLevel="6">
      <c r="B276" s="81" t="s">
        <v>294</v>
      </c>
      <c r="C276" s="37"/>
      <c r="D276" s="38"/>
      <c r="E276" s="39"/>
      <c r="F276" s="102">
        <v>3</v>
      </c>
      <c r="G276" s="53"/>
      <c r="H276" s="67">
        <v>2500</v>
      </c>
      <c r="I276" s="67">
        <f>F276*H276</f>
        <v>7500</v>
      </c>
      <c r="J276" s="210"/>
      <c r="K276" s="53"/>
      <c r="L276" s="66">
        <f t="shared" si="1"/>
        <v>7500</v>
      </c>
      <c r="M276" s="225"/>
      <c r="N276" s="236"/>
    </row>
    <row r="277" spans="2:14" s="6" customFormat="1" ht="12.75" hidden="1" outlineLevel="6">
      <c r="B277" s="81" t="s">
        <v>316</v>
      </c>
      <c r="C277" s="37">
        <v>36901.33333333333</v>
      </c>
      <c r="D277" s="38">
        <v>36948.444444444445</v>
      </c>
      <c r="E277" s="39"/>
      <c r="F277" s="102">
        <v>3</v>
      </c>
      <c r="G277" s="53"/>
      <c r="H277" s="67">
        <v>2500</v>
      </c>
      <c r="I277" s="67">
        <f>H277*F277</f>
        <v>7500</v>
      </c>
      <c r="J277" s="210"/>
      <c r="K277" s="53"/>
      <c r="L277" s="66">
        <f>I277</f>
        <v>7500</v>
      </c>
      <c r="M277" s="225"/>
      <c r="N277" s="236"/>
    </row>
    <row r="278" spans="2:14" s="6" customFormat="1" ht="12.75" hidden="1" outlineLevel="6">
      <c r="B278" s="81" t="s">
        <v>321</v>
      </c>
      <c r="C278" s="37"/>
      <c r="D278" s="38"/>
      <c r="E278" s="39"/>
      <c r="F278" s="102">
        <v>3</v>
      </c>
      <c r="G278" s="53"/>
      <c r="H278" s="67">
        <v>2000</v>
      </c>
      <c r="I278" s="67">
        <f>H278*F278</f>
        <v>6000</v>
      </c>
      <c r="J278" s="210"/>
      <c r="K278" s="53"/>
      <c r="L278" s="66">
        <f>I278</f>
        <v>6000</v>
      </c>
      <c r="M278" s="225"/>
      <c r="N278" s="236"/>
    </row>
    <row r="279" spans="1:14" s="9" customFormat="1" ht="12.75" hidden="1" outlineLevel="4" collapsed="1">
      <c r="A279" s="9" t="s">
        <v>48</v>
      </c>
      <c r="B279" s="86" t="s">
        <v>49</v>
      </c>
      <c r="C279" s="34">
        <v>37501.33333333333</v>
      </c>
      <c r="D279" s="35">
        <v>37655.70833333333</v>
      </c>
      <c r="E279" s="36">
        <v>100</v>
      </c>
      <c r="F279" s="101">
        <f>F285</f>
        <v>100</v>
      </c>
      <c r="G279" s="52"/>
      <c r="H279" s="66"/>
      <c r="I279" s="66">
        <f>I280+I285</f>
        <v>103648</v>
      </c>
      <c r="J279" s="209">
        <f>J280+J285</f>
        <v>50648</v>
      </c>
      <c r="K279" s="52">
        <f>K280</f>
        <v>6</v>
      </c>
      <c r="L279" s="66">
        <f>L280+L285</f>
        <v>34648</v>
      </c>
      <c r="M279" s="217"/>
      <c r="N279" s="235"/>
    </row>
    <row r="280" spans="1:14" s="6" customFormat="1" ht="12.75" hidden="1" outlineLevel="5">
      <c r="A280" s="6" t="s">
        <v>50</v>
      </c>
      <c r="B280" s="90" t="s">
        <v>1767</v>
      </c>
      <c r="C280" s="37">
        <v>37501.33333333333</v>
      </c>
      <c r="D280" s="38">
        <v>37568.70833333333</v>
      </c>
      <c r="E280" s="39">
        <v>50</v>
      </c>
      <c r="F280" s="102" t="s">
        <v>227</v>
      </c>
      <c r="G280" s="53">
        <v>12</v>
      </c>
      <c r="H280" s="67">
        <f>H284</f>
        <v>6500</v>
      </c>
      <c r="I280" s="67">
        <f>G280*H280</f>
        <v>78000</v>
      </c>
      <c r="J280" s="210">
        <v>25000</v>
      </c>
      <c r="K280" s="53">
        <f>'Cost 5_02'!C67+'Cost 5_02'!C68</f>
        <v>6</v>
      </c>
      <c r="L280" s="210">
        <f>K280*K11</f>
        <v>9000</v>
      </c>
      <c r="M280" s="225"/>
      <c r="N280" s="236">
        <f>L280</f>
        <v>9000</v>
      </c>
    </row>
    <row r="281" spans="2:14" s="6" customFormat="1" ht="12.75" hidden="1" outlineLevel="7">
      <c r="B281" s="81" t="s">
        <v>294</v>
      </c>
      <c r="C281" s="37"/>
      <c r="D281" s="38"/>
      <c r="E281" s="39"/>
      <c r="F281" s="102" t="s">
        <v>227</v>
      </c>
      <c r="G281" s="53"/>
      <c r="H281" s="67">
        <v>2000</v>
      </c>
      <c r="I281" s="67" t="s">
        <v>227</v>
      </c>
      <c r="J281" s="210"/>
      <c r="K281" s="53"/>
      <c r="L281" s="210">
        <f>K281*K12</f>
        <v>0</v>
      </c>
      <c r="M281" s="225"/>
      <c r="N281" s="236"/>
    </row>
    <row r="282" spans="2:14" s="6" customFormat="1" ht="12.75" hidden="1" outlineLevel="7">
      <c r="B282" s="81" t="s">
        <v>316</v>
      </c>
      <c r="C282" s="37">
        <v>36901.33333333333</v>
      </c>
      <c r="D282" s="38">
        <v>36948.444444444445</v>
      </c>
      <c r="E282" s="39"/>
      <c r="F282" s="102" t="s">
        <v>227</v>
      </c>
      <c r="G282" s="53"/>
      <c r="H282" s="67">
        <v>2500</v>
      </c>
      <c r="I282" s="67" t="s">
        <v>227</v>
      </c>
      <c r="J282" s="210"/>
      <c r="K282" s="53"/>
      <c r="L282" s="210">
        <f>K282*K13</f>
        <v>0</v>
      </c>
      <c r="M282" s="225"/>
      <c r="N282" s="236"/>
    </row>
    <row r="283" spans="2:14" s="6" customFormat="1" ht="12.75" hidden="1" outlineLevel="7">
      <c r="B283" s="81" t="s">
        <v>321</v>
      </c>
      <c r="C283" s="37"/>
      <c r="D283" s="38"/>
      <c r="E283" s="39"/>
      <c r="F283" s="102" t="s">
        <v>227</v>
      </c>
      <c r="G283" s="53"/>
      <c r="H283" s="67">
        <v>2000</v>
      </c>
      <c r="I283" s="67" t="s">
        <v>227</v>
      </c>
      <c r="J283" s="210"/>
      <c r="K283" s="53"/>
      <c r="L283" s="210">
        <f>K283*K14</f>
        <v>0</v>
      </c>
      <c r="M283" s="225"/>
      <c r="N283" s="236"/>
    </row>
    <row r="284" spans="2:14" s="6" customFormat="1" ht="12.75" hidden="1" outlineLevel="7">
      <c r="B284" s="81" t="s">
        <v>237</v>
      </c>
      <c r="C284" s="37">
        <v>37501.33333333333</v>
      </c>
      <c r="D284" s="38">
        <v>37568.70833333333</v>
      </c>
      <c r="E284" s="39"/>
      <c r="F284" s="102" t="s">
        <v>227</v>
      </c>
      <c r="G284" s="53"/>
      <c r="H284" s="67">
        <f>SUM(H281:H283)</f>
        <v>6500</v>
      </c>
      <c r="I284" s="67" t="s">
        <v>227</v>
      </c>
      <c r="J284" s="210"/>
      <c r="K284" s="53"/>
      <c r="L284" s="210">
        <f>K284*K15</f>
        <v>0</v>
      </c>
      <c r="M284" s="225"/>
      <c r="N284" s="236"/>
    </row>
    <row r="285" spans="1:14" s="6" customFormat="1" ht="12.75" hidden="1" outlineLevel="5">
      <c r="A285" s="6" t="s">
        <v>51</v>
      </c>
      <c r="B285" s="90" t="s">
        <v>52</v>
      </c>
      <c r="C285" s="37">
        <v>37571.33333333333</v>
      </c>
      <c r="D285" s="38">
        <v>37641.70833333333</v>
      </c>
      <c r="E285" s="39">
        <v>40</v>
      </c>
      <c r="F285" s="102">
        <v>100</v>
      </c>
      <c r="G285" s="53"/>
      <c r="H285" s="67"/>
      <c r="I285" s="67">
        <f>I287+I289</f>
        <v>25648</v>
      </c>
      <c r="J285" s="210">
        <v>25648</v>
      </c>
      <c r="K285" s="53"/>
      <c r="L285" s="210">
        <f>I285</f>
        <v>25648</v>
      </c>
      <c r="M285" s="225"/>
      <c r="N285" s="236">
        <f>L285</f>
        <v>25648</v>
      </c>
    </row>
    <row r="286" spans="2:14" s="6" customFormat="1" ht="12.75" hidden="1" outlineLevel="6">
      <c r="B286" s="81" t="s">
        <v>178</v>
      </c>
      <c r="C286" s="37">
        <v>37571.33333333333</v>
      </c>
      <c r="D286" s="38">
        <v>37641.70833333333</v>
      </c>
      <c r="E286" s="39"/>
      <c r="F286" s="102">
        <v>20</v>
      </c>
      <c r="G286" s="53"/>
      <c r="H286" s="67"/>
      <c r="I286" s="67">
        <v>0</v>
      </c>
      <c r="J286" s="210"/>
      <c r="K286" s="53"/>
      <c r="L286" s="210">
        <f aca="true" t="shared" si="2" ref="L286:L347">I286</f>
        <v>0</v>
      </c>
      <c r="M286" s="225"/>
      <c r="N286" s="236"/>
    </row>
    <row r="287" spans="2:14" s="6" customFormat="1" ht="12.75" hidden="1" outlineLevel="6">
      <c r="B287" s="81" t="s">
        <v>1773</v>
      </c>
      <c r="C287" s="37">
        <v>37571.33333333333</v>
      </c>
      <c r="D287" s="38">
        <v>37641.70833333333</v>
      </c>
      <c r="E287" s="39"/>
      <c r="F287" s="102">
        <f>F288</f>
        <v>40</v>
      </c>
      <c r="G287" s="53"/>
      <c r="H287" s="67">
        <f>$F$7</f>
        <v>422.8</v>
      </c>
      <c r="I287" s="67">
        <f>F287*H287</f>
        <v>16912</v>
      </c>
      <c r="J287" s="210"/>
      <c r="K287" s="53"/>
      <c r="L287" s="210">
        <f t="shared" si="2"/>
        <v>16912</v>
      </c>
      <c r="M287" s="225"/>
      <c r="N287" s="236"/>
    </row>
    <row r="288" spans="2:14" s="2" customFormat="1" ht="12.75" hidden="1" outlineLevel="7">
      <c r="B288" s="78" t="s">
        <v>258</v>
      </c>
      <c r="C288" s="25"/>
      <c r="D288" s="26"/>
      <c r="E288" s="27"/>
      <c r="F288" s="93">
        <v>40</v>
      </c>
      <c r="G288" s="40"/>
      <c r="H288" s="84"/>
      <c r="I288" s="63"/>
      <c r="J288" s="208"/>
      <c r="K288" s="40"/>
      <c r="L288" s="210">
        <f t="shared" si="2"/>
        <v>0</v>
      </c>
      <c r="M288" s="223"/>
      <c r="N288" s="229"/>
    </row>
    <row r="289" spans="2:14" s="6" customFormat="1" ht="12.75" hidden="1" outlineLevel="6">
      <c r="B289" s="81" t="s">
        <v>327</v>
      </c>
      <c r="C289" s="37">
        <v>37571.33333333333</v>
      </c>
      <c r="D289" s="38">
        <v>37641.70833333333</v>
      </c>
      <c r="E289" s="39"/>
      <c r="F289" s="102">
        <v>40</v>
      </c>
      <c r="G289" s="53"/>
      <c r="H289" s="67">
        <f>$F$4</f>
        <v>218.4</v>
      </c>
      <c r="I289" s="67">
        <f>F289*H289</f>
        <v>8736</v>
      </c>
      <c r="J289" s="210"/>
      <c r="K289" s="53"/>
      <c r="L289" s="210">
        <f t="shared" si="2"/>
        <v>8736</v>
      </c>
      <c r="M289" s="225"/>
      <c r="N289" s="236"/>
    </row>
    <row r="290" spans="2:14" s="6" customFormat="1" ht="12.75" hidden="1" outlineLevel="7">
      <c r="B290" s="89" t="s">
        <v>326</v>
      </c>
      <c r="C290" s="37"/>
      <c r="D290" s="38"/>
      <c r="E290" s="39"/>
      <c r="F290" s="102"/>
      <c r="G290" s="53"/>
      <c r="H290" s="67"/>
      <c r="I290" s="67"/>
      <c r="J290" s="210"/>
      <c r="K290" s="53"/>
      <c r="L290" s="210">
        <f t="shared" si="2"/>
        <v>0</v>
      </c>
      <c r="M290" s="225"/>
      <c r="N290" s="236"/>
    </row>
    <row r="291" spans="1:14" s="6" customFormat="1" ht="12.75" hidden="1" outlineLevel="5">
      <c r="A291" s="6" t="s">
        <v>53</v>
      </c>
      <c r="B291" s="90" t="s">
        <v>54</v>
      </c>
      <c r="C291" s="37">
        <v>37642.33333333333</v>
      </c>
      <c r="D291" s="38">
        <v>37655.70833333333</v>
      </c>
      <c r="E291" s="39">
        <v>10</v>
      </c>
      <c r="F291" s="102">
        <v>0</v>
      </c>
      <c r="G291" s="53"/>
      <c r="H291" s="67"/>
      <c r="I291" s="67">
        <v>0</v>
      </c>
      <c r="J291" s="210"/>
      <c r="K291" s="53"/>
      <c r="L291" s="210">
        <f t="shared" si="2"/>
        <v>0</v>
      </c>
      <c r="M291" s="225"/>
      <c r="N291" s="236"/>
    </row>
    <row r="292" spans="1:14" s="6" customFormat="1" ht="12.75" hidden="1" outlineLevel="5">
      <c r="A292" s="6" t="s">
        <v>55</v>
      </c>
      <c r="B292" s="90" t="s">
        <v>1795</v>
      </c>
      <c r="C292" s="37">
        <v>37501.33333333333</v>
      </c>
      <c r="D292" s="38">
        <v>37603.70833333333</v>
      </c>
      <c r="E292" s="39">
        <v>75</v>
      </c>
      <c r="F292" s="102">
        <v>0</v>
      </c>
      <c r="G292" s="53"/>
      <c r="H292" s="67"/>
      <c r="I292" s="67">
        <v>0</v>
      </c>
      <c r="J292" s="210"/>
      <c r="K292" s="53"/>
      <c r="L292" s="210">
        <f t="shared" si="2"/>
        <v>0</v>
      </c>
      <c r="M292" s="225"/>
      <c r="N292" s="236"/>
    </row>
    <row r="293" spans="1:14" s="7" customFormat="1" ht="12.75" hidden="1" outlineLevel="3" collapsed="1">
      <c r="A293" s="7" t="s">
        <v>56</v>
      </c>
      <c r="B293" s="55" t="s">
        <v>57</v>
      </c>
      <c r="C293" s="19">
        <v>36434.33333333333</v>
      </c>
      <c r="D293" s="20">
        <v>36839.70833333333</v>
      </c>
      <c r="E293" s="21">
        <v>280</v>
      </c>
      <c r="F293" s="96">
        <f>F294+F315+F333+F339</f>
        <v>400</v>
      </c>
      <c r="G293" s="51"/>
      <c r="H293" s="61"/>
      <c r="I293" s="61">
        <v>192020</v>
      </c>
      <c r="J293" s="206"/>
      <c r="K293" s="51"/>
      <c r="L293" s="206">
        <f>L294+L315+L333+L339</f>
        <v>206939</v>
      </c>
      <c r="M293" s="215">
        <f>L293-I293</f>
        <v>14919</v>
      </c>
      <c r="N293" s="232"/>
    </row>
    <row r="294" spans="1:14" ht="12.75" hidden="1" outlineLevel="4" collapsed="1">
      <c r="A294" t="s">
        <v>58</v>
      </c>
      <c r="B294" s="56" t="s">
        <v>59</v>
      </c>
      <c r="C294" s="25">
        <v>36434.33333333333</v>
      </c>
      <c r="D294" s="26">
        <v>36839.70833333333</v>
      </c>
      <c r="E294" s="27">
        <v>280</v>
      </c>
      <c r="F294" s="93">
        <f>F295</f>
        <v>130</v>
      </c>
      <c r="I294" s="62">
        <f>I295+I302+I307</f>
        <v>72278.62874251496</v>
      </c>
      <c r="J294" s="207">
        <f>J295+J302+J307</f>
        <v>72784</v>
      </c>
      <c r="L294" s="209">
        <f>J294</f>
        <v>72784</v>
      </c>
      <c r="N294" s="229">
        <f>SUM(N295:N307)</f>
        <v>72784</v>
      </c>
    </row>
    <row r="295" spans="1:14" ht="12.75" hidden="1" outlineLevel="5">
      <c r="A295" t="s">
        <v>60</v>
      </c>
      <c r="B295" s="57" t="s">
        <v>61</v>
      </c>
      <c r="C295" s="25">
        <v>36434.33333333333</v>
      </c>
      <c r="D295" s="26">
        <v>36727.70833333333</v>
      </c>
      <c r="E295" s="27">
        <v>200</v>
      </c>
      <c r="F295" s="93">
        <v>130</v>
      </c>
      <c r="I295" s="63">
        <f>I296+I301</f>
        <v>59784</v>
      </c>
      <c r="J295" s="208">
        <v>59784</v>
      </c>
      <c r="L295" s="209">
        <f aca="true" t="shared" si="3" ref="L295:L314">J295</f>
        <v>59784</v>
      </c>
      <c r="N295" s="229">
        <f>L295</f>
        <v>59784</v>
      </c>
    </row>
    <row r="296" spans="2:14" ht="12.75" hidden="1" outlineLevel="6">
      <c r="B296" s="77" t="s">
        <v>1780</v>
      </c>
      <c r="C296" s="25">
        <v>36434.33333333333</v>
      </c>
      <c r="D296" s="26">
        <v>36727.70833333333</v>
      </c>
      <c r="F296" s="93">
        <f>SUM(F297:F300)</f>
        <v>120</v>
      </c>
      <c r="H296" s="63">
        <v>480</v>
      </c>
      <c r="I296" s="63">
        <f>F296*H296</f>
        <v>57600</v>
      </c>
      <c r="J296" s="208"/>
      <c r="L296" s="209">
        <f t="shared" si="3"/>
        <v>0</v>
      </c>
      <c r="N296" s="229"/>
    </row>
    <row r="297" spans="2:14" ht="12.75" hidden="1" outlineLevel="7">
      <c r="B297" s="78" t="s">
        <v>209</v>
      </c>
      <c r="C297" s="25"/>
      <c r="F297" s="93">
        <v>40</v>
      </c>
      <c r="J297" s="208"/>
      <c r="L297" s="209">
        <f t="shared" si="3"/>
        <v>0</v>
      </c>
      <c r="N297" s="229"/>
    </row>
    <row r="298" spans="2:14" ht="12.75" hidden="1" outlineLevel="7">
      <c r="B298" s="78" t="s">
        <v>202</v>
      </c>
      <c r="C298" s="25"/>
      <c r="F298" s="93">
        <v>10</v>
      </c>
      <c r="J298" s="208"/>
      <c r="L298" s="209">
        <f t="shared" si="3"/>
        <v>0</v>
      </c>
      <c r="N298" s="229"/>
    </row>
    <row r="299" spans="2:14" ht="12.75" hidden="1" outlineLevel="7">
      <c r="B299" s="78" t="s">
        <v>207</v>
      </c>
      <c r="C299" s="25"/>
      <c r="F299" s="93">
        <v>20</v>
      </c>
      <c r="J299" s="208"/>
      <c r="L299" s="209">
        <f t="shared" si="3"/>
        <v>0</v>
      </c>
      <c r="N299" s="229"/>
    </row>
    <row r="300" spans="2:14" ht="12.75" hidden="1" outlineLevel="7">
      <c r="B300" s="78" t="s">
        <v>210</v>
      </c>
      <c r="C300" s="25"/>
      <c r="F300" s="93">
        <v>50</v>
      </c>
      <c r="J300" s="208"/>
      <c r="L300" s="209">
        <f t="shared" si="3"/>
        <v>0</v>
      </c>
      <c r="N300" s="229"/>
    </row>
    <row r="301" spans="2:14" ht="12.75" hidden="1" outlineLevel="6">
      <c r="B301" s="77" t="s">
        <v>174</v>
      </c>
      <c r="C301" s="25">
        <v>36434.33333333333</v>
      </c>
      <c r="D301" s="26">
        <v>36727.70833333333</v>
      </c>
      <c r="F301" s="93">
        <v>10</v>
      </c>
      <c r="H301" s="63">
        <v>218.4</v>
      </c>
      <c r="I301" s="63">
        <f>F301*H301</f>
        <v>2184</v>
      </c>
      <c r="J301" s="208"/>
      <c r="L301" s="209">
        <f t="shared" si="3"/>
        <v>0</v>
      </c>
      <c r="N301" s="229"/>
    </row>
    <row r="302" spans="1:14" ht="12.75" hidden="1" outlineLevel="5">
      <c r="A302" t="s">
        <v>62</v>
      </c>
      <c r="B302" s="57" t="s">
        <v>63</v>
      </c>
      <c r="C302" s="25">
        <v>36728.33333333333</v>
      </c>
      <c r="D302" s="26">
        <v>36755.70833333333</v>
      </c>
      <c r="E302" s="27">
        <v>20</v>
      </c>
      <c r="F302" s="93" t="s">
        <v>227</v>
      </c>
      <c r="I302" s="63">
        <f>G303*H306</f>
        <v>4000</v>
      </c>
      <c r="J302" s="208">
        <v>4000</v>
      </c>
      <c r="L302" s="209">
        <f t="shared" si="3"/>
        <v>4000</v>
      </c>
      <c r="N302" s="229">
        <f>L302</f>
        <v>4000</v>
      </c>
    </row>
    <row r="303" spans="2:14" ht="12.75" hidden="1" outlineLevel="6">
      <c r="B303" s="77" t="s">
        <v>228</v>
      </c>
      <c r="C303" s="25">
        <v>36728.33333333333</v>
      </c>
      <c r="D303" s="26">
        <v>36755.70833333333</v>
      </c>
      <c r="F303" s="93" t="s">
        <v>227</v>
      </c>
      <c r="G303" s="40">
        <v>1</v>
      </c>
      <c r="I303" s="63" t="s">
        <v>227</v>
      </c>
      <c r="J303" s="208"/>
      <c r="L303" s="209">
        <f t="shared" si="3"/>
        <v>0</v>
      </c>
      <c r="N303" s="229"/>
    </row>
    <row r="304" spans="2:14" ht="12.75" hidden="1" outlineLevel="6">
      <c r="B304" s="77" t="s">
        <v>229</v>
      </c>
      <c r="C304" s="25"/>
      <c r="H304" s="63">
        <v>2000</v>
      </c>
      <c r="J304" s="208"/>
      <c r="L304" s="209">
        <f t="shared" si="3"/>
        <v>0</v>
      </c>
      <c r="N304" s="229"/>
    </row>
    <row r="305" spans="2:14" s="68" customFormat="1" ht="12.75" hidden="1" outlineLevel="6">
      <c r="B305" s="77" t="s">
        <v>226</v>
      </c>
      <c r="C305" s="69"/>
      <c r="D305" s="70"/>
      <c r="E305" s="71"/>
      <c r="F305" s="103"/>
      <c r="G305" s="72"/>
      <c r="H305" s="63">
        <v>2000</v>
      </c>
      <c r="I305" s="73"/>
      <c r="J305" s="211"/>
      <c r="K305" s="72"/>
      <c r="L305" s="209">
        <f t="shared" si="3"/>
        <v>0</v>
      </c>
      <c r="M305" s="226"/>
      <c r="N305" s="237"/>
    </row>
    <row r="306" spans="2:14" s="68" customFormat="1" ht="12.75" hidden="1" outlineLevel="6">
      <c r="B306" s="77" t="s">
        <v>237</v>
      </c>
      <c r="C306" s="69"/>
      <c r="D306" s="70"/>
      <c r="E306" s="71"/>
      <c r="F306" s="103"/>
      <c r="G306" s="72"/>
      <c r="H306" s="63">
        <f>SUM(H304:H305)</f>
        <v>4000</v>
      </c>
      <c r="I306" s="73"/>
      <c r="J306" s="211"/>
      <c r="K306" s="72"/>
      <c r="L306" s="209">
        <f t="shared" si="3"/>
        <v>0</v>
      </c>
      <c r="M306" s="226"/>
      <c r="N306" s="237"/>
    </row>
    <row r="307" spans="1:14" ht="12.75" hidden="1" outlineLevel="5">
      <c r="A307" t="s">
        <v>64</v>
      </c>
      <c r="B307" s="57" t="s">
        <v>65</v>
      </c>
      <c r="C307" s="25">
        <v>36812.33333333333</v>
      </c>
      <c r="D307" s="26">
        <v>36839.70833333333</v>
      </c>
      <c r="E307" s="27">
        <v>20</v>
      </c>
      <c r="F307" s="93" t="s">
        <v>227</v>
      </c>
      <c r="I307" s="63">
        <f>H314</f>
        <v>8494.62874251497</v>
      </c>
      <c r="J307" s="208">
        <v>9000</v>
      </c>
      <c r="L307" s="209">
        <f t="shared" si="3"/>
        <v>9000</v>
      </c>
      <c r="N307" s="229">
        <f>L307</f>
        <v>9000</v>
      </c>
    </row>
    <row r="308" spans="2:14" ht="12.75" hidden="1" outlineLevel="6">
      <c r="B308" s="77" t="s">
        <v>238</v>
      </c>
      <c r="C308" s="25"/>
      <c r="H308" s="63">
        <f>2500/$F$2</f>
        <v>1497.005988023952</v>
      </c>
      <c r="J308" s="208"/>
      <c r="L308" s="209">
        <f t="shared" si="3"/>
        <v>0</v>
      </c>
      <c r="N308" s="229"/>
    </row>
    <row r="309" spans="2:14" ht="12.75" hidden="1" outlineLevel="6">
      <c r="B309" s="77" t="s">
        <v>239</v>
      </c>
      <c r="C309" s="25"/>
      <c r="H309" s="63">
        <f>900/$F$2</f>
        <v>538.9221556886228</v>
      </c>
      <c r="J309" s="208"/>
      <c r="L309" s="209">
        <f t="shared" si="3"/>
        <v>0</v>
      </c>
      <c r="N309" s="229"/>
    </row>
    <row r="310" spans="2:14" ht="12.75" hidden="1" outlineLevel="6">
      <c r="B310" s="77" t="s">
        <v>240</v>
      </c>
      <c r="C310" s="25"/>
      <c r="H310" s="63">
        <f>250/$F$2</f>
        <v>149.7005988023952</v>
      </c>
      <c r="J310" s="208"/>
      <c r="L310" s="209">
        <f t="shared" si="3"/>
        <v>0</v>
      </c>
      <c r="N310" s="229"/>
    </row>
    <row r="311" spans="2:14" ht="12.75" hidden="1" outlineLevel="6">
      <c r="B311" s="77" t="s">
        <v>241</v>
      </c>
      <c r="C311" s="25">
        <v>36812.33333333333</v>
      </c>
      <c r="D311" s="26">
        <v>36839.70833333333</v>
      </c>
      <c r="F311" s="93" t="s">
        <v>227</v>
      </c>
      <c r="H311" s="63">
        <v>3809</v>
      </c>
      <c r="I311" s="63" t="s">
        <v>227</v>
      </c>
      <c r="J311" s="208"/>
      <c r="L311" s="209">
        <f t="shared" si="3"/>
        <v>0</v>
      </c>
      <c r="N311" s="229"/>
    </row>
    <row r="312" spans="2:14" ht="12.75" hidden="1" outlineLevel="6">
      <c r="B312" s="77" t="s">
        <v>242</v>
      </c>
      <c r="C312" s="25"/>
      <c r="H312" s="63">
        <v>0</v>
      </c>
      <c r="J312" s="208"/>
      <c r="L312" s="209">
        <f t="shared" si="3"/>
        <v>0</v>
      </c>
      <c r="N312" s="229"/>
    </row>
    <row r="313" spans="2:14" ht="12.75" hidden="1" outlineLevel="6">
      <c r="B313" s="77" t="s">
        <v>243</v>
      </c>
      <c r="C313" s="25"/>
      <c r="H313" s="63">
        <v>2500</v>
      </c>
      <c r="J313" s="208"/>
      <c r="L313" s="209">
        <f t="shared" si="3"/>
        <v>0</v>
      </c>
      <c r="N313" s="229"/>
    </row>
    <row r="314" spans="2:14" ht="12.75" hidden="1" outlineLevel="6">
      <c r="B314" s="77" t="s">
        <v>237</v>
      </c>
      <c r="C314" s="25"/>
      <c r="H314" s="63">
        <f>SUM(H308:H313)</f>
        <v>8494.62874251497</v>
      </c>
      <c r="J314" s="208"/>
      <c r="L314" s="209">
        <f t="shared" si="3"/>
        <v>0</v>
      </c>
      <c r="N314" s="229"/>
    </row>
    <row r="315" spans="1:14" ht="12.75" hidden="1" outlineLevel="4" collapsed="1">
      <c r="A315" t="s">
        <v>66</v>
      </c>
      <c r="B315" s="56" t="s">
        <v>67</v>
      </c>
      <c r="C315" s="25">
        <v>36434.33333333333</v>
      </c>
      <c r="D315" s="26">
        <v>36811.70833333333</v>
      </c>
      <c r="E315" s="27">
        <v>260</v>
      </c>
      <c r="F315" s="93">
        <f>F316</f>
        <v>110</v>
      </c>
      <c r="I315" s="62">
        <f>I316+I323</f>
        <v>62684</v>
      </c>
      <c r="J315" s="207">
        <f>J316+J323</f>
        <v>62684</v>
      </c>
      <c r="L315" s="209">
        <f t="shared" si="2"/>
        <v>62684</v>
      </c>
      <c r="N315" s="229">
        <f>SUM(N316:N323)</f>
        <v>62684</v>
      </c>
    </row>
    <row r="316" spans="1:14" ht="12.75" hidden="1" outlineLevel="5">
      <c r="A316" t="s">
        <v>68</v>
      </c>
      <c r="B316" s="57" t="s">
        <v>69</v>
      </c>
      <c r="C316" s="25">
        <v>36434.33333333333</v>
      </c>
      <c r="D316" s="26">
        <v>36727.70833333333</v>
      </c>
      <c r="E316" s="27">
        <v>200</v>
      </c>
      <c r="F316" s="93">
        <v>110</v>
      </c>
      <c r="I316" s="63">
        <f>I317+I322</f>
        <v>50184</v>
      </c>
      <c r="J316" s="208">
        <v>50184</v>
      </c>
      <c r="L316" s="210">
        <f t="shared" si="2"/>
        <v>50184</v>
      </c>
      <c r="N316" s="229">
        <f>L316</f>
        <v>50184</v>
      </c>
    </row>
    <row r="317" spans="2:14" ht="12.75" hidden="1" outlineLevel="6">
      <c r="B317" s="77" t="s">
        <v>1780</v>
      </c>
      <c r="C317" s="25">
        <v>36434.33333333333</v>
      </c>
      <c r="D317" s="26">
        <v>36727.70833333333</v>
      </c>
      <c r="F317" s="93">
        <f>SUM(F318:F321)</f>
        <v>100</v>
      </c>
      <c r="H317" s="63">
        <v>480</v>
      </c>
      <c r="I317" s="63">
        <f>F317*H317</f>
        <v>48000</v>
      </c>
      <c r="J317" s="208"/>
      <c r="L317" s="210">
        <f t="shared" si="2"/>
        <v>48000</v>
      </c>
      <c r="N317" s="229"/>
    </row>
    <row r="318" spans="2:14" ht="12.75" hidden="1" outlineLevel="7">
      <c r="B318" s="78" t="s">
        <v>202</v>
      </c>
      <c r="C318" s="25"/>
      <c r="F318" s="93">
        <v>10</v>
      </c>
      <c r="J318" s="208"/>
      <c r="L318" s="210">
        <f t="shared" si="2"/>
        <v>0</v>
      </c>
      <c r="N318" s="229"/>
    </row>
    <row r="319" spans="2:14" ht="12.75" hidden="1" outlineLevel="7">
      <c r="B319" s="78" t="s">
        <v>209</v>
      </c>
      <c r="C319" s="25"/>
      <c r="F319" s="93">
        <v>20</v>
      </c>
      <c r="J319" s="208"/>
      <c r="L319" s="210">
        <f t="shared" si="2"/>
        <v>0</v>
      </c>
      <c r="N319" s="229"/>
    </row>
    <row r="320" spans="2:14" ht="12.75" hidden="1" outlineLevel="7">
      <c r="B320" s="78" t="s">
        <v>207</v>
      </c>
      <c r="C320" s="25"/>
      <c r="F320" s="93">
        <v>20</v>
      </c>
      <c r="J320" s="208"/>
      <c r="L320" s="210">
        <f t="shared" si="2"/>
        <v>0</v>
      </c>
      <c r="N320" s="229"/>
    </row>
    <row r="321" spans="2:14" ht="12.75" hidden="1" outlineLevel="7">
      <c r="B321" s="78" t="s">
        <v>210</v>
      </c>
      <c r="C321" s="25"/>
      <c r="F321" s="93">
        <v>50</v>
      </c>
      <c r="J321" s="208"/>
      <c r="L321" s="210">
        <f t="shared" si="2"/>
        <v>0</v>
      </c>
      <c r="N321" s="229"/>
    </row>
    <row r="322" spans="2:14" ht="12.75" hidden="1" outlineLevel="6">
      <c r="B322" s="77" t="s">
        <v>174</v>
      </c>
      <c r="C322" s="25">
        <v>36434.33333333333</v>
      </c>
      <c r="D322" s="26">
        <v>36727.70833333333</v>
      </c>
      <c r="F322" s="93">
        <v>10</v>
      </c>
      <c r="H322" s="63">
        <v>218.4</v>
      </c>
      <c r="I322" s="63">
        <f>F322*H322</f>
        <v>2184</v>
      </c>
      <c r="J322" s="208"/>
      <c r="L322" s="210">
        <f t="shared" si="2"/>
        <v>2184</v>
      </c>
      <c r="N322" s="229"/>
    </row>
    <row r="323" spans="1:14" ht="12.75" hidden="1" outlineLevel="5">
      <c r="A323" t="s">
        <v>70</v>
      </c>
      <c r="B323" s="57" t="s">
        <v>71</v>
      </c>
      <c r="C323" s="25">
        <v>36728.33333333333</v>
      </c>
      <c r="D323" s="26">
        <v>36755.70833333333</v>
      </c>
      <c r="E323" s="27">
        <v>20</v>
      </c>
      <c r="F323" s="93" t="s">
        <v>227</v>
      </c>
      <c r="I323" s="63">
        <f>G324*H332</f>
        <v>12500</v>
      </c>
      <c r="J323" s="208">
        <v>12500</v>
      </c>
      <c r="L323" s="210">
        <f t="shared" si="2"/>
        <v>12500</v>
      </c>
      <c r="N323" s="229">
        <f>L323</f>
        <v>12500</v>
      </c>
    </row>
    <row r="324" spans="2:14" ht="12.75" hidden="1" outlineLevel="6">
      <c r="B324" s="77" t="s">
        <v>213</v>
      </c>
      <c r="C324" s="25">
        <v>36728.33333333333</v>
      </c>
      <c r="D324" s="26">
        <v>36755.70833333333</v>
      </c>
      <c r="F324" s="93" t="s">
        <v>227</v>
      </c>
      <c r="G324" s="40">
        <v>5</v>
      </c>
      <c r="I324" s="63" t="s">
        <v>227</v>
      </c>
      <c r="J324" s="208"/>
      <c r="L324" s="210" t="str">
        <f t="shared" si="2"/>
        <v> </v>
      </c>
      <c r="N324" s="229"/>
    </row>
    <row r="325" spans="2:14" ht="12.75" hidden="1" outlineLevel="6">
      <c r="B325" s="77" t="s">
        <v>230</v>
      </c>
      <c r="C325" s="25"/>
      <c r="H325" s="63">
        <v>600</v>
      </c>
      <c r="J325" s="208"/>
      <c r="L325" s="210">
        <f t="shared" si="2"/>
        <v>0</v>
      </c>
      <c r="N325" s="229"/>
    </row>
    <row r="326" spans="2:14" ht="12.75" hidden="1" outlineLevel="7">
      <c r="B326" s="77" t="s">
        <v>236</v>
      </c>
      <c r="C326" s="25"/>
      <c r="J326" s="208"/>
      <c r="L326" s="210">
        <f t="shared" si="2"/>
        <v>0</v>
      </c>
      <c r="N326" s="229"/>
    </row>
    <row r="327" spans="2:14" ht="12.75" hidden="1" outlineLevel="6">
      <c r="B327" s="77" t="s">
        <v>231</v>
      </c>
      <c r="C327" s="25"/>
      <c r="H327" s="63">
        <v>500</v>
      </c>
      <c r="J327" s="208"/>
      <c r="L327" s="210">
        <f t="shared" si="2"/>
        <v>0</v>
      </c>
      <c r="N327" s="229"/>
    </row>
    <row r="328" spans="2:14" ht="12.75" hidden="1" outlineLevel="6">
      <c r="B328" s="77" t="s">
        <v>232</v>
      </c>
      <c r="C328" s="25"/>
      <c r="H328" s="63">
        <v>200</v>
      </c>
      <c r="J328" s="208"/>
      <c r="L328" s="210">
        <f t="shared" si="2"/>
        <v>0</v>
      </c>
      <c r="N328" s="229"/>
    </row>
    <row r="329" spans="2:14" ht="12.75" hidden="1" outlineLevel="6">
      <c r="B329" s="77" t="s">
        <v>233</v>
      </c>
      <c r="C329" s="25"/>
      <c r="H329" s="63">
        <v>500</v>
      </c>
      <c r="J329" s="208"/>
      <c r="L329" s="210">
        <f t="shared" si="2"/>
        <v>0</v>
      </c>
      <c r="N329" s="229"/>
    </row>
    <row r="330" spans="2:14" ht="12.75" hidden="1" outlineLevel="6">
      <c r="B330" s="77" t="s">
        <v>234</v>
      </c>
      <c r="C330" s="25"/>
      <c r="H330" s="63">
        <v>400</v>
      </c>
      <c r="J330" s="208"/>
      <c r="L330" s="210">
        <f t="shared" si="2"/>
        <v>0</v>
      </c>
      <c r="N330" s="229"/>
    </row>
    <row r="331" spans="2:14" ht="12.75" hidden="1" outlineLevel="6">
      <c r="B331" s="77" t="s">
        <v>235</v>
      </c>
      <c r="C331" s="25"/>
      <c r="H331" s="63">
        <v>300</v>
      </c>
      <c r="J331" s="208"/>
      <c r="L331" s="210">
        <f t="shared" si="2"/>
        <v>0</v>
      </c>
      <c r="N331" s="229"/>
    </row>
    <row r="332" spans="2:14" ht="12.75" hidden="1" outlineLevel="6">
      <c r="B332" s="77" t="s">
        <v>237</v>
      </c>
      <c r="C332" s="25"/>
      <c r="H332" s="63">
        <f>SUM(H325:H331)</f>
        <v>2500</v>
      </c>
      <c r="J332" s="208"/>
      <c r="L332" s="210">
        <f t="shared" si="2"/>
        <v>0</v>
      </c>
      <c r="N332" s="229"/>
    </row>
    <row r="333" spans="1:14" s="2" customFormat="1" ht="12.75" hidden="1" outlineLevel="4" collapsed="1">
      <c r="A333" s="2" t="s">
        <v>74</v>
      </c>
      <c r="B333" s="56" t="s">
        <v>75</v>
      </c>
      <c r="C333" s="25">
        <v>36531.33333333333</v>
      </c>
      <c r="D333" s="26">
        <v>36776.70833333333</v>
      </c>
      <c r="E333" s="27">
        <v>176</v>
      </c>
      <c r="F333" s="93">
        <f>F336</f>
        <v>40</v>
      </c>
      <c r="G333" s="40"/>
      <c r="H333" s="63"/>
      <c r="I333" s="62">
        <f>I334+I336</f>
        <v>25406.62874251497</v>
      </c>
      <c r="J333" s="207">
        <f>J334+J336</f>
        <v>47831</v>
      </c>
      <c r="K333" s="40"/>
      <c r="L333" s="209">
        <f>J333</f>
        <v>47831</v>
      </c>
      <c r="M333" s="223"/>
      <c r="N333" s="229">
        <f>SUM(N334:N336)</f>
        <v>47831</v>
      </c>
    </row>
    <row r="334" spans="1:14" s="2" customFormat="1" ht="12.75" hidden="1" outlineLevel="5">
      <c r="A334" s="2" t="s">
        <v>76</v>
      </c>
      <c r="B334" s="57" t="s">
        <v>75</v>
      </c>
      <c r="C334" s="25">
        <v>36693.33333333333</v>
      </c>
      <c r="D334" s="26">
        <v>36776.70833333333</v>
      </c>
      <c r="E334" s="27">
        <v>60</v>
      </c>
      <c r="F334" s="93" t="s">
        <v>227</v>
      </c>
      <c r="G334" s="40"/>
      <c r="H334" s="63"/>
      <c r="I334" s="63">
        <f>I335</f>
        <v>8494.62874251497</v>
      </c>
      <c r="J334" s="208">
        <v>25000</v>
      </c>
      <c r="K334" s="40"/>
      <c r="L334" s="210">
        <f>J334</f>
        <v>25000</v>
      </c>
      <c r="M334" s="223"/>
      <c r="N334" s="229">
        <f>L334</f>
        <v>25000</v>
      </c>
    </row>
    <row r="335" spans="2:14" s="2" customFormat="1" ht="12.75" hidden="1" outlineLevel="6">
      <c r="B335" s="77" t="s">
        <v>290</v>
      </c>
      <c r="C335" s="25">
        <v>36693.33333333333</v>
      </c>
      <c r="D335" s="26">
        <v>36776.70833333333</v>
      </c>
      <c r="E335" s="27"/>
      <c r="F335" s="93" t="s">
        <v>227</v>
      </c>
      <c r="G335" s="40"/>
      <c r="H335" s="63"/>
      <c r="I335" s="63">
        <f>I307</f>
        <v>8494.62874251497</v>
      </c>
      <c r="J335" s="208"/>
      <c r="K335" s="40"/>
      <c r="L335" s="210">
        <f>J335</f>
        <v>0</v>
      </c>
      <c r="M335" s="223"/>
      <c r="N335" s="229"/>
    </row>
    <row r="336" spans="1:14" s="2" customFormat="1" ht="12.75" hidden="1" outlineLevel="5">
      <c r="A336" s="2" t="s">
        <v>77</v>
      </c>
      <c r="B336" s="57" t="s">
        <v>78</v>
      </c>
      <c r="C336" s="25">
        <v>36531.33333333333</v>
      </c>
      <c r="D336" s="26">
        <v>36754.70833333333</v>
      </c>
      <c r="E336" s="27">
        <v>160</v>
      </c>
      <c r="F336" s="93">
        <v>40</v>
      </c>
      <c r="G336" s="40"/>
      <c r="H336" s="63"/>
      <c r="I336" s="63">
        <f>I337</f>
        <v>16912</v>
      </c>
      <c r="J336" s="208">
        <v>22831</v>
      </c>
      <c r="K336" s="40"/>
      <c r="L336" s="210">
        <f>J336</f>
        <v>22831</v>
      </c>
      <c r="M336" s="223"/>
      <c r="N336" s="229">
        <f>L336</f>
        <v>22831</v>
      </c>
    </row>
    <row r="337" spans="2:14" ht="12.75" hidden="1" outlineLevel="6">
      <c r="B337" s="77" t="s">
        <v>288</v>
      </c>
      <c r="C337" s="25">
        <v>36531.33333333333</v>
      </c>
      <c r="D337" s="26">
        <v>36754.70833333333</v>
      </c>
      <c r="F337" s="93">
        <f>F338</f>
        <v>40</v>
      </c>
      <c r="H337" s="63">
        <f>$F$6</f>
        <v>422.8</v>
      </c>
      <c r="I337" s="63">
        <f>F337*H337</f>
        <v>16912</v>
      </c>
      <c r="J337" s="208"/>
      <c r="L337" s="210">
        <f t="shared" si="2"/>
        <v>16912</v>
      </c>
      <c r="N337" s="229"/>
    </row>
    <row r="338" spans="2:14" ht="12.75" hidden="1" outlineLevel="7">
      <c r="B338" s="78" t="s">
        <v>289</v>
      </c>
      <c r="C338" s="25"/>
      <c r="F338" s="93">
        <v>40</v>
      </c>
      <c r="J338" s="208"/>
      <c r="L338" s="210">
        <f t="shared" si="2"/>
        <v>0</v>
      </c>
      <c r="N338" s="229"/>
    </row>
    <row r="339" spans="1:14" ht="12.75" hidden="1" outlineLevel="4" collapsed="1">
      <c r="A339" t="s">
        <v>79</v>
      </c>
      <c r="B339" s="56" t="s">
        <v>80</v>
      </c>
      <c r="C339" s="25">
        <v>36434.33333333333</v>
      </c>
      <c r="D339" s="26">
        <v>36671.70833333333</v>
      </c>
      <c r="E339" s="27">
        <v>160</v>
      </c>
      <c r="F339" s="93">
        <v>120</v>
      </c>
      <c r="I339" s="62">
        <f>I340+I344</f>
        <v>23640</v>
      </c>
      <c r="J339" s="207">
        <f>J340+J344</f>
        <v>23640</v>
      </c>
      <c r="L339" s="209">
        <f t="shared" si="2"/>
        <v>23640</v>
      </c>
      <c r="N339" s="229">
        <f>SUM(N340:N344)</f>
        <v>23640</v>
      </c>
    </row>
    <row r="340" spans="1:14" s="2" customFormat="1" ht="12.75" hidden="1" outlineLevel="5">
      <c r="A340" s="2" t="s">
        <v>81</v>
      </c>
      <c r="B340" s="57" t="s">
        <v>82</v>
      </c>
      <c r="C340" s="25">
        <v>36434.33333333333</v>
      </c>
      <c r="D340" s="26">
        <v>36587.70833333333</v>
      </c>
      <c r="E340" s="27">
        <v>100</v>
      </c>
      <c r="F340" s="93">
        <f>F341</f>
        <v>50</v>
      </c>
      <c r="G340" s="40"/>
      <c r="H340" s="63">
        <f>$F$7</f>
        <v>422.8</v>
      </c>
      <c r="I340" s="63">
        <f>F340*H340</f>
        <v>21140</v>
      </c>
      <c r="J340" s="208">
        <v>21140</v>
      </c>
      <c r="K340" s="40"/>
      <c r="L340" s="210">
        <f t="shared" si="2"/>
        <v>21140</v>
      </c>
      <c r="M340" s="223"/>
      <c r="N340" s="229">
        <f>L340</f>
        <v>21140</v>
      </c>
    </row>
    <row r="341" spans="2:14" s="2" customFormat="1" ht="12.75" hidden="1" outlineLevel="6">
      <c r="B341" s="77" t="s">
        <v>1773</v>
      </c>
      <c r="C341" s="25">
        <v>36434.33333333333</v>
      </c>
      <c r="D341" s="26">
        <v>36587.70833333333</v>
      </c>
      <c r="E341" s="27"/>
      <c r="F341" s="93">
        <f>SUM(F342:F343)</f>
        <v>50</v>
      </c>
      <c r="G341" s="40"/>
      <c r="H341" s="63"/>
      <c r="I341" s="63">
        <v>21140</v>
      </c>
      <c r="J341" s="208"/>
      <c r="K341" s="40"/>
      <c r="L341" s="210">
        <f t="shared" si="2"/>
        <v>21140</v>
      </c>
      <c r="M341" s="223"/>
      <c r="N341" s="229"/>
    </row>
    <row r="342" spans="2:14" s="2" customFormat="1" ht="12.75" hidden="1" outlineLevel="6">
      <c r="B342" s="78" t="s">
        <v>65</v>
      </c>
      <c r="C342" s="25"/>
      <c r="D342" s="26"/>
      <c r="E342" s="27"/>
      <c r="F342" s="93">
        <v>40</v>
      </c>
      <c r="G342" s="40"/>
      <c r="H342" s="63"/>
      <c r="I342" s="63"/>
      <c r="J342" s="208"/>
      <c r="K342" s="40"/>
      <c r="L342" s="210">
        <f t="shared" si="2"/>
        <v>0</v>
      </c>
      <c r="M342" s="223"/>
      <c r="N342" s="229"/>
    </row>
    <row r="343" spans="2:14" s="2" customFormat="1" ht="12.75" hidden="1" outlineLevel="6">
      <c r="B343" s="78" t="s">
        <v>313</v>
      </c>
      <c r="C343" s="25"/>
      <c r="D343" s="26"/>
      <c r="E343" s="27"/>
      <c r="F343" s="93">
        <v>10</v>
      </c>
      <c r="G343" s="40"/>
      <c r="H343" s="63"/>
      <c r="I343" s="63"/>
      <c r="J343" s="208"/>
      <c r="K343" s="40"/>
      <c r="L343" s="210">
        <f t="shared" si="2"/>
        <v>0</v>
      </c>
      <c r="M343" s="223"/>
      <c r="N343" s="229"/>
    </row>
    <row r="344" spans="1:14" s="2" customFormat="1" ht="12.75" hidden="1" outlineLevel="5">
      <c r="A344" s="2" t="s">
        <v>83</v>
      </c>
      <c r="B344" s="57" t="s">
        <v>84</v>
      </c>
      <c r="C344" s="25">
        <v>36588.33333333333</v>
      </c>
      <c r="D344" s="26">
        <v>36615.70833333333</v>
      </c>
      <c r="E344" s="27">
        <v>20</v>
      </c>
      <c r="F344" s="93">
        <v>20</v>
      </c>
      <c r="G344" s="40"/>
      <c r="H344" s="63"/>
      <c r="I344" s="63">
        <f>I345</f>
        <v>2500</v>
      </c>
      <c r="J344" s="208">
        <v>2500</v>
      </c>
      <c r="K344" s="40"/>
      <c r="L344" s="210">
        <f t="shared" si="2"/>
        <v>2500</v>
      </c>
      <c r="M344" s="223"/>
      <c r="N344" s="229">
        <f>L344</f>
        <v>2500</v>
      </c>
    </row>
    <row r="345" spans="2:14" s="2" customFormat="1" ht="12.75" hidden="1" outlineLevel="6">
      <c r="B345" s="77" t="s">
        <v>72</v>
      </c>
      <c r="C345" s="25">
        <v>36588.33333333333</v>
      </c>
      <c r="D345" s="26">
        <v>36615.70833333333</v>
      </c>
      <c r="E345" s="27"/>
      <c r="F345" s="93">
        <v>20</v>
      </c>
      <c r="G345" s="40"/>
      <c r="H345" s="63"/>
      <c r="I345" s="63">
        <f>H332</f>
        <v>2500</v>
      </c>
      <c r="J345" s="208"/>
      <c r="K345" s="40"/>
      <c r="L345" s="210">
        <f t="shared" si="2"/>
        <v>2500</v>
      </c>
      <c r="M345" s="223"/>
      <c r="N345" s="229"/>
    </row>
    <row r="346" spans="1:14" s="2" customFormat="1" ht="12.75" hidden="1" outlineLevel="5">
      <c r="A346" s="2" t="s">
        <v>85</v>
      </c>
      <c r="B346" s="57" t="s">
        <v>80</v>
      </c>
      <c r="C346" s="25">
        <v>36616.33333333333</v>
      </c>
      <c r="D346" s="26">
        <v>36643.70833333333</v>
      </c>
      <c r="E346" s="27">
        <v>20</v>
      </c>
      <c r="F346" s="93">
        <v>0</v>
      </c>
      <c r="G346" s="40"/>
      <c r="H346" s="63"/>
      <c r="I346" s="63">
        <v>0</v>
      </c>
      <c r="J346" s="208"/>
      <c r="K346" s="40"/>
      <c r="L346" s="210">
        <f t="shared" si="2"/>
        <v>0</v>
      </c>
      <c r="M346" s="223"/>
      <c r="N346" s="229"/>
    </row>
    <row r="347" spans="1:14" s="2" customFormat="1" ht="12.75" hidden="1" outlineLevel="5">
      <c r="A347" s="2" t="s">
        <v>86</v>
      </c>
      <c r="B347" s="57" t="s">
        <v>73</v>
      </c>
      <c r="C347" s="25">
        <v>36644.33333333333</v>
      </c>
      <c r="D347" s="26">
        <v>36671.70833333333</v>
      </c>
      <c r="E347" s="27">
        <v>20</v>
      </c>
      <c r="F347" s="93">
        <v>0</v>
      </c>
      <c r="G347" s="40"/>
      <c r="H347" s="63"/>
      <c r="I347" s="63">
        <v>0</v>
      </c>
      <c r="J347" s="208"/>
      <c r="K347" s="40"/>
      <c r="L347" s="210">
        <f t="shared" si="2"/>
        <v>0</v>
      </c>
      <c r="M347" s="223"/>
      <c r="N347" s="229"/>
    </row>
    <row r="348" spans="1:14" s="7" customFormat="1" ht="12.75" hidden="1" outlineLevel="3" collapsed="1">
      <c r="A348" s="7" t="s">
        <v>87</v>
      </c>
      <c r="B348" s="55" t="s">
        <v>88</v>
      </c>
      <c r="C348" s="19">
        <v>36800.33333333333</v>
      </c>
      <c r="D348" s="20">
        <v>38259.70833333333</v>
      </c>
      <c r="E348" s="21">
        <v>999</v>
      </c>
      <c r="F348" s="96">
        <f>F349+F352+F355+F358+F362+F365+F368+F370+F372</f>
        <v>605</v>
      </c>
      <c r="G348" s="51"/>
      <c r="H348" s="61"/>
      <c r="I348" s="61">
        <v>140688</v>
      </c>
      <c r="J348" s="206">
        <f>J349+J352+J355+J358+J362+J365</f>
        <v>140688</v>
      </c>
      <c r="K348" s="51"/>
      <c r="L348" s="61">
        <f>I348</f>
        <v>140688</v>
      </c>
      <c r="M348" s="215">
        <f>L348-I348</f>
        <v>0</v>
      </c>
      <c r="N348" s="232"/>
    </row>
    <row r="349" spans="1:14" s="5" customFormat="1" ht="12.75" hidden="1" outlineLevel="4" collapsed="1">
      <c r="A349" s="5" t="s">
        <v>89</v>
      </c>
      <c r="B349" s="56" t="s">
        <v>90</v>
      </c>
      <c r="C349" s="22">
        <v>36800.33333333333</v>
      </c>
      <c r="D349" s="23">
        <v>36868.70833333333</v>
      </c>
      <c r="E349" s="24">
        <v>50</v>
      </c>
      <c r="F349" s="97">
        <v>50</v>
      </c>
      <c r="G349" s="46"/>
      <c r="H349" s="62"/>
      <c r="I349" s="62">
        <f>I350</f>
        <v>24000</v>
      </c>
      <c r="J349" s="207">
        <v>24000</v>
      </c>
      <c r="K349" s="46"/>
      <c r="L349" s="62">
        <f>I349</f>
        <v>24000</v>
      </c>
      <c r="M349" s="216"/>
      <c r="N349" s="233">
        <f>L349</f>
        <v>24000</v>
      </c>
    </row>
    <row r="350" spans="2:14" ht="12.75" hidden="1" outlineLevel="6">
      <c r="B350" s="77" t="s">
        <v>1780</v>
      </c>
      <c r="C350" s="25">
        <v>36801.33333333333</v>
      </c>
      <c r="D350" s="26">
        <v>36868.70833333333</v>
      </c>
      <c r="F350" s="93">
        <f>F351</f>
        <v>50</v>
      </c>
      <c r="H350" s="63">
        <v>480</v>
      </c>
      <c r="I350" s="63">
        <f>F351*H350</f>
        <v>24000</v>
      </c>
      <c r="J350" s="208"/>
      <c r="N350" s="229"/>
    </row>
    <row r="351" spans="2:14" ht="12.75" hidden="1" outlineLevel="7">
      <c r="B351" s="78" t="s">
        <v>287</v>
      </c>
      <c r="C351" s="25"/>
      <c r="F351" s="93">
        <v>50</v>
      </c>
      <c r="J351" s="208"/>
      <c r="N351" s="229"/>
    </row>
    <row r="352" spans="1:14" s="5" customFormat="1" ht="12.75" hidden="1" outlineLevel="4" collapsed="1">
      <c r="A352" s="5" t="s">
        <v>91</v>
      </c>
      <c r="B352" s="56" t="s">
        <v>92</v>
      </c>
      <c r="C352" s="22">
        <v>36800.33333333333</v>
      </c>
      <c r="D352" s="23">
        <v>36868.70833333333</v>
      </c>
      <c r="E352" s="24">
        <v>50</v>
      </c>
      <c r="F352" s="97">
        <v>50</v>
      </c>
      <c r="G352" s="46"/>
      <c r="H352" s="62"/>
      <c r="I352" s="62">
        <f>I353</f>
        <v>21140</v>
      </c>
      <c r="J352" s="207">
        <v>21140</v>
      </c>
      <c r="K352" s="46"/>
      <c r="L352" s="62">
        <f>I352</f>
        <v>21140</v>
      </c>
      <c r="M352" s="216"/>
      <c r="N352" s="233">
        <f>L352</f>
        <v>21140</v>
      </c>
    </row>
    <row r="353" spans="2:14" ht="12.75" hidden="1" outlineLevel="6">
      <c r="B353" s="77" t="s">
        <v>1807</v>
      </c>
      <c r="C353" s="25">
        <v>36801.33333333333</v>
      </c>
      <c r="D353" s="26">
        <v>36868.70833333333</v>
      </c>
      <c r="F353" s="93">
        <v>50</v>
      </c>
      <c r="H353" s="63">
        <f>$F$6</f>
        <v>422.8</v>
      </c>
      <c r="I353" s="63">
        <f>F353*H353</f>
        <v>21140</v>
      </c>
      <c r="J353" s="208"/>
      <c r="N353" s="229"/>
    </row>
    <row r="354" spans="2:14" ht="12.75" hidden="1" outlineLevel="7">
      <c r="B354" s="78" t="s">
        <v>287</v>
      </c>
      <c r="C354" s="25"/>
      <c r="J354" s="208"/>
      <c r="N354" s="229"/>
    </row>
    <row r="355" spans="1:14" s="5" customFormat="1" ht="12.75" hidden="1" outlineLevel="4" collapsed="1">
      <c r="A355" s="5" t="s">
        <v>93</v>
      </c>
      <c r="B355" s="56" t="s">
        <v>94</v>
      </c>
      <c r="C355" s="22">
        <v>36800.33333333333</v>
      </c>
      <c r="D355" s="23">
        <v>36868.70833333333</v>
      </c>
      <c r="E355" s="24">
        <v>50</v>
      </c>
      <c r="F355" s="97">
        <v>50</v>
      </c>
      <c r="G355" s="46"/>
      <c r="H355" s="62"/>
      <c r="I355" s="62">
        <f>I356</f>
        <v>21140</v>
      </c>
      <c r="J355" s="207">
        <v>21140</v>
      </c>
      <c r="K355" s="46"/>
      <c r="L355" s="62">
        <f>I355</f>
        <v>21140</v>
      </c>
      <c r="M355" s="216"/>
      <c r="N355" s="233">
        <f>L355</f>
        <v>21140</v>
      </c>
    </row>
    <row r="356" spans="2:14" ht="12.75" hidden="1" outlineLevel="6">
      <c r="B356" s="77" t="s">
        <v>1773</v>
      </c>
      <c r="C356" s="25">
        <v>36801.33333333333</v>
      </c>
      <c r="D356" s="26">
        <v>36868.70833333333</v>
      </c>
      <c r="F356" s="93">
        <v>50</v>
      </c>
      <c r="H356" s="63">
        <f>$F$7</f>
        <v>422.8</v>
      </c>
      <c r="I356" s="63">
        <f>F356*H356</f>
        <v>21140</v>
      </c>
      <c r="J356" s="208"/>
      <c r="N356" s="229"/>
    </row>
    <row r="357" spans="2:14" ht="12.75" hidden="1" outlineLevel="7">
      <c r="B357" s="78" t="s">
        <v>287</v>
      </c>
      <c r="C357" s="25"/>
      <c r="J357" s="208"/>
      <c r="N357" s="229"/>
    </row>
    <row r="358" spans="1:14" s="5" customFormat="1" ht="12.75" hidden="1" outlineLevel="4" collapsed="1">
      <c r="A358" s="5" t="s">
        <v>95</v>
      </c>
      <c r="B358" s="56" t="s">
        <v>96</v>
      </c>
      <c r="C358" s="22">
        <v>37165.33333333333</v>
      </c>
      <c r="D358" s="23">
        <v>37347.70833333333</v>
      </c>
      <c r="E358" s="24">
        <v>100</v>
      </c>
      <c r="F358" s="97">
        <v>90</v>
      </c>
      <c r="G358" s="46"/>
      <c r="H358" s="62"/>
      <c r="I358" s="62">
        <f>I359+I361</f>
        <v>40584</v>
      </c>
      <c r="J358" s="207">
        <v>40584</v>
      </c>
      <c r="K358" s="46"/>
      <c r="L358" s="62">
        <f>I358</f>
        <v>40584</v>
      </c>
      <c r="M358" s="216"/>
      <c r="N358" s="233">
        <f>L358</f>
        <v>40584</v>
      </c>
    </row>
    <row r="359" spans="2:14" ht="12.75" hidden="1" outlineLevel="6">
      <c r="B359" s="77" t="s">
        <v>1780</v>
      </c>
      <c r="C359" s="25">
        <v>37165.33333333333</v>
      </c>
      <c r="D359" s="26">
        <v>37291.70833333333</v>
      </c>
      <c r="F359" s="93">
        <f>F360</f>
        <v>80</v>
      </c>
      <c r="H359" s="63">
        <v>480</v>
      </c>
      <c r="I359" s="63">
        <f>F360*H359</f>
        <v>38400</v>
      </c>
      <c r="J359" s="208"/>
      <c r="N359" s="229"/>
    </row>
    <row r="360" spans="2:14" ht="12.75" hidden="1" outlineLevel="7">
      <c r="B360" s="78" t="s">
        <v>287</v>
      </c>
      <c r="C360" s="25"/>
      <c r="F360" s="93">
        <v>80</v>
      </c>
      <c r="J360" s="208"/>
      <c r="N360" s="229"/>
    </row>
    <row r="361" spans="2:14" ht="12.75" hidden="1" outlineLevel="6">
      <c r="B361" s="77" t="s">
        <v>174</v>
      </c>
      <c r="C361" s="25">
        <v>37165.33333333333</v>
      </c>
      <c r="D361" s="26">
        <v>37347.70833333333</v>
      </c>
      <c r="F361" s="93">
        <v>10</v>
      </c>
      <c r="H361" s="63">
        <f>$F$4</f>
        <v>218.4</v>
      </c>
      <c r="I361" s="63">
        <f>F361*H361</f>
        <v>2184</v>
      </c>
      <c r="J361" s="208"/>
      <c r="N361" s="229"/>
    </row>
    <row r="362" spans="1:14" s="5" customFormat="1" ht="12.75" hidden="1" outlineLevel="4" collapsed="1">
      <c r="A362" s="5" t="s">
        <v>97</v>
      </c>
      <c r="B362" s="56" t="s">
        <v>98</v>
      </c>
      <c r="C362" s="22">
        <v>37165.33333333333</v>
      </c>
      <c r="D362" s="23">
        <v>37291.70833333333</v>
      </c>
      <c r="E362" s="24">
        <v>80</v>
      </c>
      <c r="F362" s="97">
        <v>40</v>
      </c>
      <c r="G362" s="46"/>
      <c r="H362" s="62"/>
      <c r="I362" s="62">
        <v>16912</v>
      </c>
      <c r="J362" s="207">
        <v>16912</v>
      </c>
      <c r="K362" s="46"/>
      <c r="L362" s="62">
        <f>I362</f>
        <v>16912</v>
      </c>
      <c r="M362" s="216"/>
      <c r="N362" s="233">
        <f>L362</f>
        <v>16912</v>
      </c>
    </row>
    <row r="363" spans="2:14" ht="12.75" hidden="1" outlineLevel="6">
      <c r="B363" s="77" t="s">
        <v>1807</v>
      </c>
      <c r="C363" s="25">
        <v>37165.33333333333</v>
      </c>
      <c r="D363" s="26">
        <v>37291.70833333333</v>
      </c>
      <c r="F363" s="93">
        <v>40</v>
      </c>
      <c r="H363" s="63">
        <f>$F$6</f>
        <v>422.8</v>
      </c>
      <c r="I363" s="63">
        <f>F363*H363</f>
        <v>16912</v>
      </c>
      <c r="J363" s="208"/>
      <c r="N363" s="229"/>
    </row>
    <row r="364" spans="2:14" ht="12.75" hidden="1" outlineLevel="7">
      <c r="B364" s="78" t="s">
        <v>287</v>
      </c>
      <c r="C364" s="25"/>
      <c r="J364" s="208"/>
      <c r="N364" s="229"/>
    </row>
    <row r="365" spans="1:14" s="5" customFormat="1" ht="12.75" hidden="1" outlineLevel="4" collapsed="1">
      <c r="A365" s="5" t="s">
        <v>99</v>
      </c>
      <c r="B365" s="56" t="s">
        <v>100</v>
      </c>
      <c r="C365" s="22">
        <v>37165.33333333333</v>
      </c>
      <c r="D365" s="23">
        <v>37291.70833333333</v>
      </c>
      <c r="E365" s="24">
        <v>80</v>
      </c>
      <c r="F365" s="97">
        <f>F366</f>
        <v>40</v>
      </c>
      <c r="G365" s="46"/>
      <c r="H365" s="62"/>
      <c r="I365" s="62">
        <f>I366</f>
        <v>16912</v>
      </c>
      <c r="J365" s="207">
        <v>16912</v>
      </c>
      <c r="K365" s="46"/>
      <c r="L365" s="62">
        <f>I365</f>
        <v>16912</v>
      </c>
      <c r="M365" s="216"/>
      <c r="N365" s="233">
        <f>L365</f>
        <v>16912</v>
      </c>
    </row>
    <row r="366" spans="2:14" ht="12.75" hidden="1" outlineLevel="6">
      <c r="B366" s="77" t="s">
        <v>1773</v>
      </c>
      <c r="C366" s="25">
        <v>37165.33333333333</v>
      </c>
      <c r="D366" s="26">
        <v>37291.70833333333</v>
      </c>
      <c r="F366" s="93">
        <f>F367</f>
        <v>40</v>
      </c>
      <c r="H366" s="63">
        <f>$F$7</f>
        <v>422.8</v>
      </c>
      <c r="I366" s="63">
        <f>F366*H366</f>
        <v>16912</v>
      </c>
      <c r="J366" s="208"/>
      <c r="N366" s="229"/>
    </row>
    <row r="367" spans="2:14" ht="12.75" hidden="1" outlineLevel="7">
      <c r="B367" s="78" t="s">
        <v>287</v>
      </c>
      <c r="C367" s="25"/>
      <c r="F367" s="93">
        <v>40</v>
      </c>
      <c r="J367" s="208"/>
      <c r="N367" s="229"/>
    </row>
    <row r="368" spans="1:14" s="5" customFormat="1" ht="12.75" hidden="1" outlineLevel="4" collapsed="1">
      <c r="A368" s="5" t="s">
        <v>101</v>
      </c>
      <c r="B368" s="56" t="s">
        <v>102</v>
      </c>
      <c r="C368" s="22">
        <v>37994.33333333333</v>
      </c>
      <c r="D368" s="23">
        <v>38259.70833333333</v>
      </c>
      <c r="E368" s="24">
        <v>190</v>
      </c>
      <c r="F368" s="97">
        <v>95</v>
      </c>
      <c r="G368" s="46"/>
      <c r="H368" s="62"/>
      <c r="I368" s="62">
        <v>0</v>
      </c>
      <c r="J368" s="207"/>
      <c r="K368" s="46"/>
      <c r="L368" s="46"/>
      <c r="M368" s="216"/>
      <c r="N368" s="233"/>
    </row>
    <row r="369" spans="2:14" ht="12.75" hidden="1" outlineLevel="6">
      <c r="B369" s="77" t="s">
        <v>173</v>
      </c>
      <c r="C369" s="25">
        <v>37994.33333333333</v>
      </c>
      <c r="D369" s="26">
        <v>38259.70833333333</v>
      </c>
      <c r="F369" s="93">
        <v>95</v>
      </c>
      <c r="I369" s="63">
        <v>0</v>
      </c>
      <c r="J369" s="208"/>
      <c r="N369" s="229"/>
    </row>
    <row r="370" spans="1:14" s="5" customFormat="1" ht="12.75" hidden="1" outlineLevel="4" collapsed="1">
      <c r="A370" s="5" t="s">
        <v>103</v>
      </c>
      <c r="B370" s="56" t="s">
        <v>104</v>
      </c>
      <c r="C370" s="22">
        <v>37994.33333333333</v>
      </c>
      <c r="D370" s="23">
        <v>38259.70833333333</v>
      </c>
      <c r="E370" s="24">
        <v>190</v>
      </c>
      <c r="F370" s="97">
        <v>95</v>
      </c>
      <c r="G370" s="46"/>
      <c r="H370" s="62"/>
      <c r="I370" s="62">
        <v>0</v>
      </c>
      <c r="J370" s="207"/>
      <c r="K370" s="46"/>
      <c r="L370" s="46"/>
      <c r="M370" s="216"/>
      <c r="N370" s="233"/>
    </row>
    <row r="371" spans="2:14" ht="12.75" hidden="1" outlineLevel="6">
      <c r="B371" s="77" t="s">
        <v>105</v>
      </c>
      <c r="C371" s="25">
        <v>37994.33333333333</v>
      </c>
      <c r="D371" s="26">
        <v>38259.70833333333</v>
      </c>
      <c r="F371" s="93">
        <v>95</v>
      </c>
      <c r="I371" s="63">
        <v>0</v>
      </c>
      <c r="J371" s="208"/>
      <c r="N371" s="229"/>
    </row>
    <row r="372" spans="1:14" s="5" customFormat="1" ht="12.75" hidden="1" outlineLevel="4" collapsed="1">
      <c r="A372" s="5" t="s">
        <v>106</v>
      </c>
      <c r="B372" s="56" t="s">
        <v>107</v>
      </c>
      <c r="C372" s="22">
        <v>37994.33333333333</v>
      </c>
      <c r="D372" s="23">
        <v>38259.70833333333</v>
      </c>
      <c r="E372" s="24">
        <v>190</v>
      </c>
      <c r="F372" s="97">
        <v>95</v>
      </c>
      <c r="G372" s="46"/>
      <c r="H372" s="62"/>
      <c r="I372" s="62">
        <v>0</v>
      </c>
      <c r="J372" s="207"/>
      <c r="K372" s="46"/>
      <c r="L372" s="46"/>
      <c r="M372" s="216"/>
      <c r="N372" s="233"/>
    </row>
    <row r="373" spans="2:14" ht="12.75" hidden="1" outlineLevel="6">
      <c r="B373" s="77" t="s">
        <v>178</v>
      </c>
      <c r="C373" s="25">
        <v>37994.33333333333</v>
      </c>
      <c r="D373" s="26">
        <v>38259.70833333333</v>
      </c>
      <c r="F373" s="93">
        <v>95</v>
      </c>
      <c r="I373" s="63">
        <v>0</v>
      </c>
      <c r="J373" s="208"/>
      <c r="N373" s="229"/>
    </row>
    <row r="374" spans="2:14" ht="12" customHeight="1" hidden="1" outlineLevel="3" collapsed="1">
      <c r="B374" s="82" t="s">
        <v>180</v>
      </c>
      <c r="C374" s="25"/>
      <c r="J374" s="208"/>
      <c r="N374" s="229"/>
    </row>
    <row r="375" spans="1:14" ht="12.75" hidden="1" outlineLevel="4">
      <c r="A375" t="s">
        <v>108</v>
      </c>
      <c r="B375" s="40" t="s">
        <v>109</v>
      </c>
      <c r="C375" s="25">
        <v>36901.33333333333</v>
      </c>
      <c r="D375" s="26">
        <v>36901.33333333333</v>
      </c>
      <c r="E375" s="27">
        <v>0</v>
      </c>
      <c r="F375" s="93">
        <v>0</v>
      </c>
      <c r="I375" s="63">
        <v>0</v>
      </c>
      <c r="J375" s="208"/>
      <c r="N375" s="229"/>
    </row>
    <row r="376" spans="1:14" ht="12.75" hidden="1" outlineLevel="4">
      <c r="A376" t="s">
        <v>110</v>
      </c>
      <c r="B376" s="40" t="s">
        <v>111</v>
      </c>
      <c r="C376" s="25">
        <v>37288.33333333333</v>
      </c>
      <c r="D376" s="26">
        <v>37288.33333333333</v>
      </c>
      <c r="E376" s="27">
        <v>0</v>
      </c>
      <c r="F376" s="93">
        <v>0</v>
      </c>
      <c r="I376" s="63">
        <v>0</v>
      </c>
      <c r="J376" s="208"/>
      <c r="N376" s="229"/>
    </row>
    <row r="377" spans="1:14" ht="12.75" hidden="1" outlineLevel="4">
      <c r="A377" t="s">
        <v>112</v>
      </c>
      <c r="B377" s="40" t="s">
        <v>113</v>
      </c>
      <c r="C377" s="25">
        <v>37500.33333333333</v>
      </c>
      <c r="D377" s="26">
        <v>37500.33333333333</v>
      </c>
      <c r="E377" s="27">
        <v>0</v>
      </c>
      <c r="F377" s="93">
        <v>0</v>
      </c>
      <c r="I377" s="63">
        <v>0</v>
      </c>
      <c r="J377" s="208"/>
      <c r="N377" s="229"/>
    </row>
    <row r="378" spans="1:14" ht="12.75" hidden="1" outlineLevel="4">
      <c r="A378" t="s">
        <v>114</v>
      </c>
      <c r="B378" s="40" t="s">
        <v>115</v>
      </c>
      <c r="C378" s="25">
        <v>37695.33333333333</v>
      </c>
      <c r="D378" s="26">
        <v>37695.33333333333</v>
      </c>
      <c r="E378" s="27">
        <v>0</v>
      </c>
      <c r="F378" s="93">
        <v>0</v>
      </c>
      <c r="I378" s="63">
        <v>0</v>
      </c>
      <c r="J378" s="208"/>
      <c r="N378" s="229"/>
    </row>
    <row r="379" spans="1:14" ht="12.75" hidden="1" outlineLevel="4">
      <c r="A379" t="s">
        <v>116</v>
      </c>
      <c r="B379" s="40" t="s">
        <v>117</v>
      </c>
      <c r="C379" s="25">
        <v>38018.33333333333</v>
      </c>
      <c r="D379" s="26">
        <v>38018.33333333333</v>
      </c>
      <c r="E379" s="27">
        <v>0</v>
      </c>
      <c r="F379" s="93">
        <v>0</v>
      </c>
      <c r="I379" s="63">
        <v>0</v>
      </c>
      <c r="J379" s="208"/>
      <c r="N379" s="229"/>
    </row>
    <row r="380" spans="1:14" s="1" customFormat="1" ht="12.75" hidden="1" outlineLevel="3" collapsed="1">
      <c r="A380" s="1" t="s">
        <v>122</v>
      </c>
      <c r="B380" s="82" t="s">
        <v>123</v>
      </c>
      <c r="C380" s="13">
        <v>36434.33333333333</v>
      </c>
      <c r="D380" s="14">
        <v>38259.70833333333</v>
      </c>
      <c r="E380" s="15">
        <v>1250</v>
      </c>
      <c r="F380" s="92">
        <f>F381+F385+F387+F389+F391+F392+F393+F394+F396+F399</f>
        <v>310</v>
      </c>
      <c r="G380" s="42"/>
      <c r="H380" s="59"/>
      <c r="I380" s="59">
        <v>148800</v>
      </c>
      <c r="J380" s="212">
        <f>J381</f>
        <v>148800</v>
      </c>
      <c r="K380" s="54"/>
      <c r="L380" s="59">
        <f>L381</f>
        <v>343800</v>
      </c>
      <c r="M380" s="202">
        <f>L380-I380</f>
        <v>195000</v>
      </c>
      <c r="N380" s="230">
        <f>N381</f>
        <v>283785.61</v>
      </c>
    </row>
    <row r="381" spans="1:14" s="5" customFormat="1" ht="12.75" hidden="1" outlineLevel="4" collapsed="1">
      <c r="A381" s="5" t="s">
        <v>124</v>
      </c>
      <c r="B381" s="56" t="s">
        <v>125</v>
      </c>
      <c r="C381" s="22">
        <v>36647.33333333333</v>
      </c>
      <c r="D381" s="23">
        <v>37543.70833333333</v>
      </c>
      <c r="E381" s="24">
        <v>620</v>
      </c>
      <c r="F381" s="97">
        <v>310</v>
      </c>
      <c r="G381" s="46"/>
      <c r="H381" s="62"/>
      <c r="I381" s="62">
        <f>I382+I384</f>
        <v>163800</v>
      </c>
      <c r="J381" s="207">
        <v>148800</v>
      </c>
      <c r="K381" s="46"/>
      <c r="L381" s="62">
        <f>I381+180000</f>
        <v>343800</v>
      </c>
      <c r="M381" s="216"/>
      <c r="N381" s="233">
        <v>283785.61</v>
      </c>
    </row>
    <row r="382" spans="2:14" ht="12.75" hidden="1" outlineLevel="6">
      <c r="B382" s="77" t="s">
        <v>1780</v>
      </c>
      <c r="C382" s="25">
        <v>36647.33333333333</v>
      </c>
      <c r="D382" s="26">
        <v>37543.70833333333</v>
      </c>
      <c r="F382" s="93">
        <v>310</v>
      </c>
      <c r="I382" s="63">
        <f>I383</f>
        <v>148800</v>
      </c>
      <c r="J382" s="208"/>
      <c r="N382" s="229"/>
    </row>
    <row r="383" spans="2:14" ht="12.75" hidden="1" outlineLevel="6">
      <c r="B383" s="78" t="s">
        <v>281</v>
      </c>
      <c r="C383" s="25"/>
      <c r="F383" s="93">
        <v>310</v>
      </c>
      <c r="H383" s="63">
        <f>$F$5</f>
        <v>480</v>
      </c>
      <c r="I383" s="63">
        <f>F383*H383</f>
        <v>148800</v>
      </c>
      <c r="J383" s="208"/>
      <c r="N383" s="229"/>
    </row>
    <row r="384" spans="2:14" ht="12.75" hidden="1" outlineLevel="6">
      <c r="B384" s="77" t="s">
        <v>345</v>
      </c>
      <c r="C384" s="25"/>
      <c r="I384" s="63">
        <v>15000</v>
      </c>
      <c r="J384" s="208"/>
      <c r="N384" s="229"/>
    </row>
    <row r="385" spans="1:14" s="5" customFormat="1" ht="12.75" hidden="1" outlineLevel="4" collapsed="1">
      <c r="A385" s="5" t="s">
        <v>126</v>
      </c>
      <c r="B385" s="56" t="s">
        <v>127</v>
      </c>
      <c r="C385" s="22">
        <v>36434.33333333333</v>
      </c>
      <c r="D385" s="23">
        <v>38259.70833333333</v>
      </c>
      <c r="E385" s="24">
        <v>1250</v>
      </c>
      <c r="F385" s="97"/>
      <c r="G385" s="46"/>
      <c r="H385" s="62"/>
      <c r="I385" s="62">
        <v>0</v>
      </c>
      <c r="J385" s="207"/>
      <c r="K385" s="46"/>
      <c r="L385" s="46"/>
      <c r="M385" s="216"/>
      <c r="N385" s="233"/>
    </row>
    <row r="386" spans="2:14" ht="12.75" hidden="1" outlineLevel="6">
      <c r="B386" s="77" t="s">
        <v>105</v>
      </c>
      <c r="C386" s="25">
        <v>36434.33333333333</v>
      </c>
      <c r="D386" s="26">
        <v>38259.70833333333</v>
      </c>
      <c r="I386" s="63">
        <v>0</v>
      </c>
      <c r="J386" s="208"/>
      <c r="N386" s="229"/>
    </row>
    <row r="387" spans="1:14" s="5" customFormat="1" ht="12.75" hidden="1" outlineLevel="4" collapsed="1">
      <c r="A387" s="5" t="s">
        <v>128</v>
      </c>
      <c r="B387" s="56" t="s">
        <v>129</v>
      </c>
      <c r="C387" s="22">
        <v>36434.33333333333</v>
      </c>
      <c r="D387" s="23">
        <v>38259.70833333333</v>
      </c>
      <c r="E387" s="24">
        <v>1250</v>
      </c>
      <c r="F387" s="97"/>
      <c r="G387" s="46"/>
      <c r="H387" s="62"/>
      <c r="I387" s="62">
        <v>0</v>
      </c>
      <c r="J387" s="207"/>
      <c r="K387" s="46"/>
      <c r="L387" s="46"/>
      <c r="M387" s="216"/>
      <c r="N387" s="233"/>
    </row>
    <row r="388" spans="2:14" ht="12.75" hidden="1" outlineLevel="6">
      <c r="B388" s="77" t="s">
        <v>173</v>
      </c>
      <c r="C388" s="25">
        <v>36434.33333333333</v>
      </c>
      <c r="D388" s="26">
        <v>38259.70833333333</v>
      </c>
      <c r="I388" s="63">
        <v>0</v>
      </c>
      <c r="J388" s="208"/>
      <c r="N388" s="229"/>
    </row>
    <row r="389" spans="1:14" s="5" customFormat="1" ht="12.75" hidden="1" outlineLevel="4" collapsed="1">
      <c r="A389" s="5" t="s">
        <v>130</v>
      </c>
      <c r="B389" s="56" t="s">
        <v>131</v>
      </c>
      <c r="C389" s="22">
        <v>36434.33333333333</v>
      </c>
      <c r="D389" s="23">
        <v>38259.70833333333</v>
      </c>
      <c r="E389" s="24">
        <v>1250</v>
      </c>
      <c r="F389" s="97"/>
      <c r="G389" s="46"/>
      <c r="H389" s="62"/>
      <c r="I389" s="62">
        <v>0</v>
      </c>
      <c r="J389" s="207"/>
      <c r="K389" s="46"/>
      <c r="L389" s="46"/>
      <c r="M389" s="216"/>
      <c r="N389" s="233"/>
    </row>
    <row r="390" spans="2:14" ht="12.75" hidden="1" outlineLevel="6">
      <c r="B390" s="77" t="s">
        <v>178</v>
      </c>
      <c r="C390" s="25">
        <v>36434.33333333333</v>
      </c>
      <c r="D390" s="26">
        <v>38259.70833333333</v>
      </c>
      <c r="F390" s="93">
        <v>125</v>
      </c>
      <c r="I390" s="63">
        <v>0</v>
      </c>
      <c r="J390" s="208"/>
      <c r="N390" s="229"/>
    </row>
    <row r="391" spans="1:14" s="5" customFormat="1" ht="12.75" hidden="1" outlineLevel="4">
      <c r="A391" s="5" t="s">
        <v>132</v>
      </c>
      <c r="B391" s="56" t="s">
        <v>133</v>
      </c>
      <c r="C391" s="22">
        <v>36434.33333333333</v>
      </c>
      <c r="D391" s="23">
        <v>38259.70833333333</v>
      </c>
      <c r="E391" s="24">
        <v>1250</v>
      </c>
      <c r="F391" s="97"/>
      <c r="G391" s="46"/>
      <c r="H391" s="62"/>
      <c r="I391" s="62">
        <v>0</v>
      </c>
      <c r="J391" s="207"/>
      <c r="K391" s="46"/>
      <c r="L391" s="46"/>
      <c r="M391" s="216"/>
      <c r="N391" s="233"/>
    </row>
    <row r="392" spans="1:14" s="5" customFormat="1" ht="12.75" hidden="1" outlineLevel="4">
      <c r="A392" s="5" t="s">
        <v>134</v>
      </c>
      <c r="B392" s="56" t="s">
        <v>135</v>
      </c>
      <c r="C392" s="22">
        <v>36434.33333333333</v>
      </c>
      <c r="D392" s="23">
        <v>38259.70833333333</v>
      </c>
      <c r="E392" s="24">
        <v>1250</v>
      </c>
      <c r="F392" s="97"/>
      <c r="G392" s="46"/>
      <c r="H392" s="62"/>
      <c r="I392" s="62">
        <v>0</v>
      </c>
      <c r="J392" s="207"/>
      <c r="K392" s="46"/>
      <c r="L392" s="46"/>
      <c r="M392" s="216"/>
      <c r="N392" s="233"/>
    </row>
    <row r="393" spans="1:14" s="5" customFormat="1" ht="12.75" hidden="1" outlineLevel="4">
      <c r="A393" s="5" t="s">
        <v>136</v>
      </c>
      <c r="B393" s="56" t="s">
        <v>137</v>
      </c>
      <c r="C393" s="22">
        <v>36434.33333333333</v>
      </c>
      <c r="D393" s="23">
        <v>38259.70833333333</v>
      </c>
      <c r="E393" s="24">
        <v>1250</v>
      </c>
      <c r="F393" s="97"/>
      <c r="G393" s="46"/>
      <c r="H393" s="62"/>
      <c r="I393" s="62">
        <v>0</v>
      </c>
      <c r="J393" s="207"/>
      <c r="K393" s="46"/>
      <c r="L393" s="46"/>
      <c r="M393" s="216"/>
      <c r="N393" s="233"/>
    </row>
    <row r="394" spans="1:14" s="5" customFormat="1" ht="12.75" hidden="1" outlineLevel="4" collapsed="1">
      <c r="A394" s="5" t="s">
        <v>138</v>
      </c>
      <c r="B394" s="56" t="s">
        <v>139</v>
      </c>
      <c r="C394" s="22">
        <v>36434.33333333333</v>
      </c>
      <c r="D394" s="23">
        <v>37893.70833333333</v>
      </c>
      <c r="E394" s="24">
        <v>1000</v>
      </c>
      <c r="F394" s="97"/>
      <c r="G394" s="47"/>
      <c r="H394" s="62"/>
      <c r="I394" s="62">
        <v>0</v>
      </c>
      <c r="J394" s="207"/>
      <c r="K394" s="46"/>
      <c r="L394" s="46"/>
      <c r="M394" s="216"/>
      <c r="N394" s="233"/>
    </row>
    <row r="395" spans="2:14" ht="12.75" hidden="1" outlineLevel="6">
      <c r="B395" s="77" t="s">
        <v>173</v>
      </c>
      <c r="C395" s="25">
        <v>36434.33333333333</v>
      </c>
      <c r="D395" s="26">
        <v>37893.70833333333</v>
      </c>
      <c r="G395" s="48"/>
      <c r="I395" s="63">
        <v>0</v>
      </c>
      <c r="J395" s="208"/>
      <c r="N395" s="229"/>
    </row>
    <row r="396" spans="1:14" s="5" customFormat="1" ht="12.75" hidden="1" outlineLevel="4" collapsed="1">
      <c r="A396" s="5" t="s">
        <v>140</v>
      </c>
      <c r="B396" s="56" t="s">
        <v>141</v>
      </c>
      <c r="C396" s="22">
        <v>36434.33333333333</v>
      </c>
      <c r="D396" s="23">
        <v>37893.70833333333</v>
      </c>
      <c r="E396" s="24">
        <v>1000</v>
      </c>
      <c r="F396" s="97"/>
      <c r="G396" s="47"/>
      <c r="H396" s="62"/>
      <c r="I396" s="62">
        <v>0</v>
      </c>
      <c r="J396" s="207"/>
      <c r="K396" s="46"/>
      <c r="L396" s="46"/>
      <c r="M396" s="216"/>
      <c r="N396" s="233"/>
    </row>
    <row r="397" spans="2:14" ht="12.75" hidden="1" outlineLevel="6">
      <c r="B397" s="77" t="s">
        <v>142</v>
      </c>
      <c r="C397" s="25">
        <v>36434.33333333333</v>
      </c>
      <c r="D397" s="26">
        <v>37893.70833333333</v>
      </c>
      <c r="I397" s="63">
        <v>0</v>
      </c>
      <c r="J397" s="208"/>
      <c r="N397" s="229"/>
    </row>
    <row r="398" spans="2:14" ht="12.75" hidden="1" outlineLevel="6">
      <c r="B398" s="77" t="s">
        <v>143</v>
      </c>
      <c r="C398" s="25">
        <v>36434.33333333333</v>
      </c>
      <c r="D398" s="26">
        <v>37893.70833333333</v>
      </c>
      <c r="I398" s="63">
        <v>0</v>
      </c>
      <c r="J398" s="208"/>
      <c r="N398" s="229"/>
    </row>
    <row r="399" spans="1:14" s="5" customFormat="1" ht="12.75" hidden="1" outlineLevel="4" collapsed="1">
      <c r="A399" s="5" t="s">
        <v>144</v>
      </c>
      <c r="B399" s="56" t="s">
        <v>78</v>
      </c>
      <c r="C399" s="22">
        <v>36434.33333333333</v>
      </c>
      <c r="D399" s="23">
        <v>37893.70833333333</v>
      </c>
      <c r="E399" s="24">
        <v>1000</v>
      </c>
      <c r="F399" s="97"/>
      <c r="G399" s="47"/>
      <c r="H399" s="62"/>
      <c r="I399" s="62">
        <v>0</v>
      </c>
      <c r="J399" s="207"/>
      <c r="K399" s="46"/>
      <c r="L399" s="46"/>
      <c r="M399" s="216"/>
      <c r="N399" s="233"/>
    </row>
    <row r="400" spans="2:14" ht="12.75" hidden="1" outlineLevel="7">
      <c r="B400" s="77" t="s">
        <v>105</v>
      </c>
      <c r="C400" s="25">
        <v>36434.33333333333</v>
      </c>
      <c r="D400" s="26">
        <v>37893.70833333333</v>
      </c>
      <c r="F400" s="93" t="s">
        <v>227</v>
      </c>
      <c r="G400" s="48"/>
      <c r="I400" s="63">
        <v>0</v>
      </c>
      <c r="J400" s="208"/>
      <c r="N400" s="229"/>
    </row>
    <row r="401" spans="1:14" s="1" customFormat="1" ht="12.75" hidden="1" outlineLevel="3" collapsed="1">
      <c r="A401" s="1" t="s">
        <v>145</v>
      </c>
      <c r="B401" s="82" t="s">
        <v>146</v>
      </c>
      <c r="C401" s="13">
        <v>37288.33333333333</v>
      </c>
      <c r="D401" s="14">
        <v>37543.70833333333</v>
      </c>
      <c r="E401" s="15">
        <v>182</v>
      </c>
      <c r="F401" s="92">
        <f>F402+F410+F413</f>
        <v>55</v>
      </c>
      <c r="G401" s="54"/>
      <c r="H401" s="59"/>
      <c r="I401" s="59">
        <v>29188</v>
      </c>
      <c r="J401" s="212">
        <f>J402+J413</f>
        <v>29188</v>
      </c>
      <c r="K401" s="54"/>
      <c r="L401" s="212">
        <f>L402+L413</f>
        <v>29188</v>
      </c>
      <c r="M401" s="202">
        <f>L401-I401</f>
        <v>0</v>
      </c>
      <c r="N401" s="230"/>
    </row>
    <row r="402" spans="1:14" s="5" customFormat="1" ht="12.75" hidden="1" outlineLevel="4" collapsed="1">
      <c r="A402" s="5" t="s">
        <v>147</v>
      </c>
      <c r="B402" s="56" t="s">
        <v>148</v>
      </c>
      <c r="C402" s="22">
        <v>37316.33333333333</v>
      </c>
      <c r="D402" s="23">
        <v>37399.70833333333</v>
      </c>
      <c r="E402" s="24">
        <v>60</v>
      </c>
      <c r="F402" s="97">
        <f>F403</f>
        <v>20</v>
      </c>
      <c r="G402" s="46"/>
      <c r="H402" s="62"/>
      <c r="I402" s="62">
        <f>I403</f>
        <v>10640</v>
      </c>
      <c r="J402" s="207">
        <v>10640</v>
      </c>
      <c r="K402" s="46"/>
      <c r="L402" s="207">
        <f>J402</f>
        <v>10640</v>
      </c>
      <c r="M402" s="216"/>
      <c r="N402" s="233">
        <f>L402</f>
        <v>10640</v>
      </c>
    </row>
    <row r="403" spans="1:14" ht="12.75" hidden="1" outlineLevel="5">
      <c r="A403" t="s">
        <v>149</v>
      </c>
      <c r="B403" s="57" t="s">
        <v>150</v>
      </c>
      <c r="C403" s="25">
        <v>37316.33333333333</v>
      </c>
      <c r="D403" s="26">
        <v>37371.70833333333</v>
      </c>
      <c r="E403" s="27">
        <v>40</v>
      </c>
      <c r="F403" s="93">
        <f>F405</f>
        <v>20</v>
      </c>
      <c r="I403" s="63">
        <f>I405+I407</f>
        <v>10640</v>
      </c>
      <c r="J403" s="208"/>
      <c r="N403" s="229"/>
    </row>
    <row r="404" spans="2:14" ht="12.75" hidden="1" outlineLevel="6">
      <c r="B404" s="77" t="s">
        <v>178</v>
      </c>
      <c r="C404" s="25">
        <v>37316.33333333333</v>
      </c>
      <c r="D404" s="26">
        <v>37371.70833333333</v>
      </c>
      <c r="F404" s="93">
        <v>20</v>
      </c>
      <c r="I404" s="63">
        <v>0</v>
      </c>
      <c r="J404" s="208"/>
      <c r="N404" s="229"/>
    </row>
    <row r="405" spans="2:14" ht="12.75" hidden="1" outlineLevel="6">
      <c r="B405" s="77" t="s">
        <v>1773</v>
      </c>
      <c r="C405" s="25">
        <v>37316.33333333333</v>
      </c>
      <c r="D405" s="26">
        <v>37371.70833333333</v>
      </c>
      <c r="F405" s="93">
        <f>F406</f>
        <v>20</v>
      </c>
      <c r="H405" s="63">
        <f>$F$7</f>
        <v>422.8</v>
      </c>
      <c r="I405" s="63">
        <f>F405*H405</f>
        <v>8456</v>
      </c>
      <c r="J405" s="208"/>
      <c r="N405" s="229"/>
    </row>
    <row r="406" spans="2:14" ht="12.75" hidden="1" outlineLevel="7">
      <c r="B406" s="78" t="s">
        <v>322</v>
      </c>
      <c r="C406" s="25"/>
      <c r="F406" s="93">
        <v>20</v>
      </c>
      <c r="J406" s="208"/>
      <c r="N406" s="229"/>
    </row>
    <row r="407" spans="2:14" ht="12.75" hidden="1" outlineLevel="6">
      <c r="B407" s="77" t="s">
        <v>177</v>
      </c>
      <c r="C407" s="25">
        <v>37316.33333333333</v>
      </c>
      <c r="D407" s="26">
        <v>37371.70833333333</v>
      </c>
      <c r="F407" s="93">
        <f>F408</f>
        <v>10</v>
      </c>
      <c r="H407" s="63">
        <f>$F$4</f>
        <v>218.4</v>
      </c>
      <c r="I407" s="63">
        <f>F407*H407</f>
        <v>2184</v>
      </c>
      <c r="J407" s="208"/>
      <c r="N407" s="229"/>
    </row>
    <row r="408" spans="2:14" ht="12.75" hidden="1" outlineLevel="7">
      <c r="B408" s="78" t="s">
        <v>323</v>
      </c>
      <c r="C408" s="25"/>
      <c r="F408" s="93">
        <v>10</v>
      </c>
      <c r="J408" s="208"/>
      <c r="N408" s="229"/>
    </row>
    <row r="409" spans="1:14" ht="12.75" hidden="1" outlineLevel="5">
      <c r="A409" t="s">
        <v>151</v>
      </c>
      <c r="B409" s="57" t="s">
        <v>152</v>
      </c>
      <c r="C409" s="25">
        <v>37316.33333333333</v>
      </c>
      <c r="D409" s="26">
        <v>37399.70833333333</v>
      </c>
      <c r="E409" s="27">
        <v>60</v>
      </c>
      <c r="F409" s="93">
        <v>0</v>
      </c>
      <c r="I409" s="63">
        <v>0</v>
      </c>
      <c r="J409" s="208"/>
      <c r="N409" s="229"/>
    </row>
    <row r="410" spans="1:14" s="5" customFormat="1" ht="12.75" hidden="1" outlineLevel="4" collapsed="1">
      <c r="A410" s="5" t="s">
        <v>153</v>
      </c>
      <c r="B410" s="56" t="s">
        <v>154</v>
      </c>
      <c r="C410" s="22">
        <v>37288.33333333333</v>
      </c>
      <c r="D410" s="23">
        <v>37315.70833333333</v>
      </c>
      <c r="E410" s="24">
        <v>20</v>
      </c>
      <c r="F410" s="97">
        <v>0</v>
      </c>
      <c r="G410" s="46"/>
      <c r="H410" s="62"/>
      <c r="I410" s="62">
        <v>0</v>
      </c>
      <c r="J410" s="207"/>
      <c r="K410" s="46"/>
      <c r="L410" s="46"/>
      <c r="M410" s="216"/>
      <c r="N410" s="233"/>
    </row>
    <row r="411" spans="1:14" ht="12.75" hidden="1" outlineLevel="5">
      <c r="A411" t="s">
        <v>155</v>
      </c>
      <c r="B411" s="57" t="s">
        <v>150</v>
      </c>
      <c r="C411" s="25">
        <v>37288.33333333333</v>
      </c>
      <c r="D411" s="26">
        <v>37315.70833333333</v>
      </c>
      <c r="E411" s="27">
        <v>20</v>
      </c>
      <c r="F411" s="93">
        <v>0</v>
      </c>
      <c r="I411" s="63">
        <v>0</v>
      </c>
      <c r="J411" s="208"/>
      <c r="N411" s="229"/>
    </row>
    <row r="412" spans="1:14" ht="12.75" hidden="1" outlineLevel="5">
      <c r="A412" t="s">
        <v>156</v>
      </c>
      <c r="B412" s="57" t="s">
        <v>152</v>
      </c>
      <c r="C412" s="25">
        <v>37288.33333333333</v>
      </c>
      <c r="D412" s="26">
        <v>37315.70833333333</v>
      </c>
      <c r="E412" s="27">
        <v>20</v>
      </c>
      <c r="F412" s="93">
        <v>0</v>
      </c>
      <c r="I412" s="63">
        <v>0</v>
      </c>
      <c r="J412" s="208"/>
      <c r="N412" s="229"/>
    </row>
    <row r="413" spans="1:14" s="5" customFormat="1" ht="12.75" hidden="1" outlineLevel="4" collapsed="1">
      <c r="A413" s="5" t="s">
        <v>157</v>
      </c>
      <c r="B413" s="56" t="s">
        <v>158</v>
      </c>
      <c r="C413" s="22">
        <v>37439.33333333333</v>
      </c>
      <c r="D413" s="23">
        <v>37543.70833333333</v>
      </c>
      <c r="E413" s="24">
        <v>75</v>
      </c>
      <c r="F413" s="97">
        <f>F414+F417+F423+F424</f>
        <v>35</v>
      </c>
      <c r="G413" s="46"/>
      <c r="H413" s="62"/>
      <c r="I413" s="62">
        <f>I414+I417</f>
        <v>18548</v>
      </c>
      <c r="J413" s="207">
        <v>18548</v>
      </c>
      <c r="K413" s="46"/>
      <c r="L413" s="62">
        <f>I413</f>
        <v>18548</v>
      </c>
      <c r="M413" s="216"/>
      <c r="N413" s="233">
        <f>L413</f>
        <v>18548</v>
      </c>
    </row>
    <row r="414" spans="1:14" ht="12.75" hidden="1" outlineLevel="6">
      <c r="A414" t="s">
        <v>159</v>
      </c>
      <c r="B414" s="57" t="s">
        <v>330</v>
      </c>
      <c r="C414" s="25">
        <v>37439.33333333333</v>
      </c>
      <c r="D414" s="26">
        <v>37498.70833333333</v>
      </c>
      <c r="E414" s="27">
        <v>44</v>
      </c>
      <c r="I414" s="63">
        <f>I415</f>
        <v>9000</v>
      </c>
      <c r="J414" s="208"/>
      <c r="N414" s="229"/>
    </row>
    <row r="415" spans="2:14" ht="12.75" hidden="1" outlineLevel="7">
      <c r="B415" s="77" t="s">
        <v>160</v>
      </c>
      <c r="C415" s="25">
        <v>37439.33333333333</v>
      </c>
      <c r="D415" s="26">
        <v>37498.70833333333</v>
      </c>
      <c r="F415" s="93" t="s">
        <v>227</v>
      </c>
      <c r="I415" s="63">
        <f>I416</f>
        <v>9000</v>
      </c>
      <c r="J415" s="208"/>
      <c r="N415" s="229"/>
    </row>
    <row r="416" spans="2:14" ht="12.75" hidden="1" outlineLevel="7">
      <c r="B416" s="78" t="s">
        <v>329</v>
      </c>
      <c r="C416" s="25"/>
      <c r="G416" s="40">
        <v>3</v>
      </c>
      <c r="H416" s="63">
        <v>3000</v>
      </c>
      <c r="I416" s="63">
        <f>G416*H416</f>
        <v>9000</v>
      </c>
      <c r="J416" s="208"/>
      <c r="N416" s="229"/>
    </row>
    <row r="417" spans="1:14" ht="12.75" hidden="1" outlineLevel="6">
      <c r="A417" t="s">
        <v>161</v>
      </c>
      <c r="B417" s="57" t="s">
        <v>162</v>
      </c>
      <c r="C417" s="25">
        <v>37445.33333333333</v>
      </c>
      <c r="D417" s="26">
        <v>37526.70833333333</v>
      </c>
      <c r="E417" s="27">
        <v>40</v>
      </c>
      <c r="F417" s="93">
        <v>35</v>
      </c>
      <c r="I417" s="63">
        <f>I419+I421</f>
        <v>9548</v>
      </c>
      <c r="J417" s="208"/>
      <c r="N417" s="229"/>
    </row>
    <row r="418" spans="2:14" ht="12.75" hidden="1" outlineLevel="7">
      <c r="B418" s="77" t="s">
        <v>178</v>
      </c>
      <c r="C418" s="25">
        <v>37445.33333333333</v>
      </c>
      <c r="D418" s="26">
        <v>37498.70833333333</v>
      </c>
      <c r="F418" s="93">
        <v>10</v>
      </c>
      <c r="I418" s="63">
        <v>0</v>
      </c>
      <c r="J418" s="208"/>
      <c r="N418" s="229"/>
    </row>
    <row r="419" spans="2:14" ht="12.75" hidden="1" outlineLevel="7">
      <c r="B419" s="77" t="s">
        <v>1773</v>
      </c>
      <c r="C419" s="25">
        <v>37445.33333333333</v>
      </c>
      <c r="D419" s="26">
        <v>37526.70833333333</v>
      </c>
      <c r="F419" s="93">
        <f>F420</f>
        <v>20</v>
      </c>
      <c r="H419" s="63">
        <f>$F$7</f>
        <v>422.8</v>
      </c>
      <c r="I419" s="63">
        <f>F419*H419</f>
        <v>8456</v>
      </c>
      <c r="J419" s="208"/>
      <c r="N419" s="229"/>
    </row>
    <row r="420" spans="2:14" ht="12.75" hidden="1" outlineLevel="7">
      <c r="B420" s="78" t="s">
        <v>331</v>
      </c>
      <c r="C420" s="25"/>
      <c r="F420" s="93">
        <v>20</v>
      </c>
      <c r="J420" s="208"/>
      <c r="N420" s="229"/>
    </row>
    <row r="421" spans="2:14" ht="12.75" hidden="1" outlineLevel="7">
      <c r="B421" s="77" t="s">
        <v>324</v>
      </c>
      <c r="C421" s="25">
        <v>37445.33333333333</v>
      </c>
      <c r="D421" s="26">
        <v>37498.70833333333</v>
      </c>
      <c r="F421" s="93">
        <f>F422</f>
        <v>5</v>
      </c>
      <c r="H421" s="63">
        <f>$F$4</f>
        <v>218.4</v>
      </c>
      <c r="I421" s="63">
        <f>F421*H421</f>
        <v>1092</v>
      </c>
      <c r="J421" s="208"/>
      <c r="N421" s="229"/>
    </row>
    <row r="422" spans="2:14" ht="12.75" hidden="1" outlineLevel="7">
      <c r="B422" s="78" t="s">
        <v>332</v>
      </c>
      <c r="C422" s="25"/>
      <c r="F422" s="93">
        <v>5</v>
      </c>
      <c r="J422" s="208"/>
      <c r="N422" s="229"/>
    </row>
    <row r="423" spans="1:14" ht="12.75" hidden="1" outlineLevel="6">
      <c r="A423" t="s">
        <v>163</v>
      </c>
      <c r="B423" s="57" t="s">
        <v>164</v>
      </c>
      <c r="C423" s="25">
        <v>37529.33333333333</v>
      </c>
      <c r="D423" s="26">
        <v>37540.70833333333</v>
      </c>
      <c r="E423" s="27">
        <v>10</v>
      </c>
      <c r="F423" s="93">
        <v>0</v>
      </c>
      <c r="I423" s="63">
        <v>0</v>
      </c>
      <c r="J423" s="208"/>
      <c r="N423" s="229"/>
    </row>
    <row r="424" spans="1:14" ht="12.75" hidden="1" outlineLevel="6">
      <c r="A424" t="s">
        <v>165</v>
      </c>
      <c r="B424" s="57" t="s">
        <v>1795</v>
      </c>
      <c r="C424" s="25">
        <v>37439.33333333333</v>
      </c>
      <c r="D424" s="26">
        <v>37543.70833333333</v>
      </c>
      <c r="E424" s="27">
        <v>75</v>
      </c>
      <c r="F424" s="93">
        <v>0</v>
      </c>
      <c r="I424" s="63">
        <v>0</v>
      </c>
      <c r="J424" s="208"/>
      <c r="N424" s="229"/>
    </row>
    <row r="425" spans="1:14" ht="12.75" outlineLevel="1" collapsed="1">
      <c r="A425" s="1" t="s">
        <v>1032</v>
      </c>
      <c r="B425" s="82" t="s">
        <v>1058</v>
      </c>
      <c r="C425" s="25"/>
      <c r="J425" s="208"/>
      <c r="K425" s="54">
        <f>K426</f>
        <v>626</v>
      </c>
      <c r="L425" s="212">
        <f>L426+L427+L428</f>
        <v>135100</v>
      </c>
      <c r="M425" s="202">
        <f>L425</f>
        <v>135100</v>
      </c>
      <c r="N425" s="229"/>
    </row>
    <row r="426" spans="1:14" ht="12.75" hidden="1" outlineLevel="2">
      <c r="A426" s="5" t="s">
        <v>1033</v>
      </c>
      <c r="B426" s="56" t="s">
        <v>1059</v>
      </c>
      <c r="C426" s="25"/>
      <c r="J426" s="208">
        <v>52600</v>
      </c>
      <c r="K426" s="40">
        <f>'Cost 5_02'!G42+'Cost 5_02'!G43</f>
        <v>626</v>
      </c>
      <c r="L426" s="208">
        <f>K426*K15</f>
        <v>62600</v>
      </c>
      <c r="N426" s="229">
        <f>L426</f>
        <v>62600</v>
      </c>
    </row>
    <row r="427" spans="1:14" ht="12.75" hidden="1" outlineLevel="2">
      <c r="A427" s="5" t="s">
        <v>1062</v>
      </c>
      <c r="B427" s="56" t="s">
        <v>1061</v>
      </c>
      <c r="C427" s="25"/>
      <c r="J427" s="208">
        <v>20000</v>
      </c>
      <c r="L427" s="208">
        <f>J427</f>
        <v>20000</v>
      </c>
      <c r="N427" s="229">
        <v>21840</v>
      </c>
    </row>
    <row r="428" spans="1:14" ht="12.75" hidden="1" outlineLevel="2">
      <c r="A428" s="5" t="s">
        <v>1062</v>
      </c>
      <c r="B428" s="56" t="s">
        <v>1063</v>
      </c>
      <c r="C428" s="25"/>
      <c r="J428" s="208"/>
      <c r="K428" s="40">
        <f>'Cost 5_02'!G46+'Cost 5_02'!G47</f>
        <v>175</v>
      </c>
      <c r="L428" s="208">
        <f>K428*$K$16</f>
        <v>52500</v>
      </c>
      <c r="N428" s="229">
        <v>66000</v>
      </c>
    </row>
    <row r="429" spans="1:14" s="4" customFormat="1" ht="12.75" outlineLevel="1">
      <c r="A429" s="4" t="s">
        <v>1726</v>
      </c>
      <c r="B429" s="91" t="s">
        <v>1727</v>
      </c>
      <c r="C429" s="16">
        <v>35704.33333333333</v>
      </c>
      <c r="D429" s="17">
        <v>38472.33333333333</v>
      </c>
      <c r="E429" s="18">
        <v>1891</v>
      </c>
      <c r="F429" s="95">
        <v>123234</v>
      </c>
      <c r="G429" s="44"/>
      <c r="H429" s="60"/>
      <c r="I429" s="104">
        <v>3050838.54</v>
      </c>
      <c r="J429" s="205"/>
      <c r="K429" s="91"/>
      <c r="L429" s="91"/>
      <c r="M429" s="204"/>
      <c r="N429" s="231"/>
    </row>
    <row r="430" spans="1:14" s="4" customFormat="1" ht="12.75" outlineLevel="2">
      <c r="A430" s="4" t="s">
        <v>1728</v>
      </c>
      <c r="B430" s="91" t="s">
        <v>1775</v>
      </c>
      <c r="C430" s="16">
        <v>37501.33333333333</v>
      </c>
      <c r="D430" s="17">
        <v>38407.70833333333</v>
      </c>
      <c r="E430" s="18">
        <v>615</v>
      </c>
      <c r="F430" s="95"/>
      <c r="G430" s="44"/>
      <c r="H430" s="60"/>
      <c r="I430" s="60">
        <f>I431+I437+I443+I448+I450+I453+I456</f>
        <v>339100</v>
      </c>
      <c r="J430" s="205">
        <f>I430/I429</f>
        <v>0.11114976933522021</v>
      </c>
      <c r="K430" s="91"/>
      <c r="L430" s="205">
        <f>L431+L437+L443+L448+L456</f>
        <v>394808</v>
      </c>
      <c r="M430" s="204">
        <f>L430-I430</f>
        <v>55708</v>
      </c>
      <c r="N430" s="231"/>
    </row>
    <row r="431" spans="1:14" s="1" customFormat="1" ht="12.75" outlineLevel="3" collapsed="1">
      <c r="A431" s="1" t="s">
        <v>1729</v>
      </c>
      <c r="B431" s="82" t="s">
        <v>1730</v>
      </c>
      <c r="C431" s="13">
        <v>37501.33333333333</v>
      </c>
      <c r="D431" s="14">
        <v>37603.70833333333</v>
      </c>
      <c r="E431" s="15">
        <v>75</v>
      </c>
      <c r="F431" s="92"/>
      <c r="G431" s="42"/>
      <c r="H431" s="59"/>
      <c r="I431" s="59">
        <f>I432</f>
        <v>200000</v>
      </c>
      <c r="J431" s="212"/>
      <c r="K431" s="54">
        <f>K432</f>
        <v>58</v>
      </c>
      <c r="L431" s="212">
        <f>L432</f>
        <v>297308</v>
      </c>
      <c r="M431" s="202">
        <f>L431-I431</f>
        <v>97308</v>
      </c>
      <c r="N431" s="230"/>
    </row>
    <row r="432" spans="1:14" s="5" customFormat="1" ht="12.75" hidden="1" outlineLevel="4">
      <c r="A432" s="5" t="s">
        <v>1731</v>
      </c>
      <c r="B432" s="56" t="s">
        <v>1732</v>
      </c>
      <c r="C432" s="22">
        <v>37501.33333333333</v>
      </c>
      <c r="D432" s="23">
        <v>37603.70833333333</v>
      </c>
      <c r="E432" s="24">
        <v>75</v>
      </c>
      <c r="F432" s="97"/>
      <c r="G432" s="47"/>
      <c r="H432" s="62"/>
      <c r="I432" s="62">
        <f>I433</f>
        <v>200000</v>
      </c>
      <c r="J432" s="207"/>
      <c r="K432" s="46">
        <f>K433</f>
        <v>58</v>
      </c>
      <c r="L432" s="207">
        <f>L433</f>
        <v>297308</v>
      </c>
      <c r="M432" s="216"/>
      <c r="N432" s="233">
        <f>L432</f>
        <v>297308</v>
      </c>
    </row>
    <row r="433" spans="2:14" s="2" customFormat="1" ht="12.75" hidden="1" outlineLevel="6">
      <c r="B433" s="57" t="s">
        <v>1791</v>
      </c>
      <c r="C433" s="25">
        <v>37501.33333333333</v>
      </c>
      <c r="D433" s="26">
        <v>37603.70833333333</v>
      </c>
      <c r="E433" s="27"/>
      <c r="F433" s="93"/>
      <c r="G433" s="48">
        <v>80</v>
      </c>
      <c r="H433" s="63">
        <f>H75</f>
        <v>2500</v>
      </c>
      <c r="I433" s="63">
        <f>G433*H433</f>
        <v>200000</v>
      </c>
      <c r="J433" s="208">
        <v>254718</v>
      </c>
      <c r="K433" s="40">
        <f>'Cost 5_02'!E37+'Cost 5_02'!E38</f>
        <v>58</v>
      </c>
      <c r="L433" s="208">
        <f>K433*$K$9</f>
        <v>297308</v>
      </c>
      <c r="M433" s="223"/>
      <c r="N433" s="229"/>
    </row>
    <row r="434" spans="1:14" s="5" customFormat="1" ht="12.75" hidden="1" outlineLevel="4">
      <c r="A434" s="5" t="s">
        <v>1733</v>
      </c>
      <c r="B434" s="56" t="s">
        <v>1734</v>
      </c>
      <c r="C434" s="22">
        <v>37501.33333333333</v>
      </c>
      <c r="D434" s="23">
        <v>37526.70833333333</v>
      </c>
      <c r="E434" s="24">
        <v>20</v>
      </c>
      <c r="F434" s="97"/>
      <c r="G434" s="46"/>
      <c r="H434" s="62"/>
      <c r="I434" s="62">
        <v>0</v>
      </c>
      <c r="J434" s="207"/>
      <c r="K434" s="46"/>
      <c r="L434" s="46"/>
      <c r="M434" s="216"/>
      <c r="N434" s="233"/>
    </row>
    <row r="435" spans="1:14" s="5" customFormat="1" ht="12.75" hidden="1" outlineLevel="4">
      <c r="A435" s="5" t="s">
        <v>1735</v>
      </c>
      <c r="B435" s="56" t="s">
        <v>1736</v>
      </c>
      <c r="C435" s="22">
        <v>37529.33333333333</v>
      </c>
      <c r="D435" s="23">
        <v>37540.70833333333</v>
      </c>
      <c r="E435" s="24">
        <v>10</v>
      </c>
      <c r="F435" s="97"/>
      <c r="G435" s="46"/>
      <c r="H435" s="62"/>
      <c r="I435" s="62">
        <v>0</v>
      </c>
      <c r="J435" s="207"/>
      <c r="K435" s="46"/>
      <c r="L435" s="46"/>
      <c r="M435" s="216"/>
      <c r="N435" s="233"/>
    </row>
    <row r="436" spans="1:14" s="5" customFormat="1" ht="12.75" hidden="1" outlineLevel="4">
      <c r="A436" s="5" t="s">
        <v>1737</v>
      </c>
      <c r="B436" s="56" t="s">
        <v>1795</v>
      </c>
      <c r="C436" s="22">
        <v>37501.33333333333</v>
      </c>
      <c r="D436" s="23">
        <v>37603.70833333333</v>
      </c>
      <c r="E436" s="24">
        <v>75</v>
      </c>
      <c r="F436" s="97"/>
      <c r="G436" s="46"/>
      <c r="H436" s="62"/>
      <c r="I436" s="62">
        <v>0</v>
      </c>
      <c r="J436" s="207"/>
      <c r="K436" s="46"/>
      <c r="L436" s="46"/>
      <c r="M436" s="216"/>
      <c r="N436" s="233"/>
    </row>
    <row r="437" spans="1:14" s="1" customFormat="1" ht="12.75" outlineLevel="3" collapsed="1">
      <c r="A437" s="1" t="s">
        <v>1738</v>
      </c>
      <c r="B437" s="82" t="s">
        <v>1739</v>
      </c>
      <c r="C437" s="13">
        <v>37501.33333333333</v>
      </c>
      <c r="D437" s="14">
        <v>37603.70833333333</v>
      </c>
      <c r="E437" s="15">
        <v>75</v>
      </c>
      <c r="F437" s="92"/>
      <c r="G437" s="54"/>
      <c r="H437" s="59"/>
      <c r="I437" s="59">
        <f>I438</f>
        <v>54600</v>
      </c>
      <c r="J437" s="212"/>
      <c r="K437" s="54">
        <f>K438</f>
        <v>10</v>
      </c>
      <c r="L437" s="212">
        <f>L438</f>
        <v>62000</v>
      </c>
      <c r="M437" s="202">
        <f>L437-I437</f>
        <v>7400</v>
      </c>
      <c r="N437" s="230"/>
    </row>
    <row r="438" spans="1:14" s="5" customFormat="1" ht="12.75" hidden="1" outlineLevel="4">
      <c r="A438" s="5" t="s">
        <v>1740</v>
      </c>
      <c r="B438" s="56" t="s">
        <v>1741</v>
      </c>
      <c r="C438" s="22">
        <v>37501.33333333333</v>
      </c>
      <c r="D438" s="23">
        <v>37603.70833333333</v>
      </c>
      <c r="E438" s="24">
        <v>75</v>
      </c>
      <c r="F438" s="97"/>
      <c r="G438" s="46"/>
      <c r="H438" s="62"/>
      <c r="I438" s="62">
        <f>I439</f>
        <v>54600</v>
      </c>
      <c r="J438" s="207">
        <v>35000</v>
      </c>
      <c r="K438" s="46">
        <f>'Cost 5_02'!E62+'Cost 5_02'!E63</f>
        <v>10</v>
      </c>
      <c r="L438" s="207">
        <f>K438*K10</f>
        <v>62000</v>
      </c>
      <c r="M438" s="216"/>
      <c r="N438" s="233">
        <f>L438</f>
        <v>62000</v>
      </c>
    </row>
    <row r="439" spans="2:14" s="2" customFormat="1" ht="12.75" hidden="1" outlineLevel="6">
      <c r="B439" s="77" t="s">
        <v>334</v>
      </c>
      <c r="C439" s="25">
        <v>37501.33333333333</v>
      </c>
      <c r="D439" s="26">
        <v>37603.70833333333</v>
      </c>
      <c r="E439" s="27"/>
      <c r="F439" s="93"/>
      <c r="G439" s="40">
        <v>7</v>
      </c>
      <c r="H439" s="63">
        <f>H10</f>
        <v>7800</v>
      </c>
      <c r="I439" s="63">
        <f>G439*H439</f>
        <v>54600</v>
      </c>
      <c r="J439" s="208"/>
      <c r="K439" s="40"/>
      <c r="L439" s="40"/>
      <c r="M439" s="223"/>
      <c r="N439" s="229"/>
    </row>
    <row r="440" spans="1:14" s="5" customFormat="1" ht="12.75" hidden="1" outlineLevel="4">
      <c r="A440" s="5" t="s">
        <v>1742</v>
      </c>
      <c r="B440" s="56" t="s">
        <v>1743</v>
      </c>
      <c r="C440" s="22">
        <v>37501.33333333333</v>
      </c>
      <c r="D440" s="23">
        <v>37526.70833333333</v>
      </c>
      <c r="E440" s="24">
        <v>20</v>
      </c>
      <c r="F440" s="97"/>
      <c r="G440" s="46"/>
      <c r="H440" s="62"/>
      <c r="I440" s="62">
        <v>0</v>
      </c>
      <c r="J440" s="207"/>
      <c r="K440" s="46"/>
      <c r="L440" s="46"/>
      <c r="M440" s="216"/>
      <c r="N440" s="233"/>
    </row>
    <row r="441" spans="1:14" s="5" customFormat="1" ht="12.75" hidden="1" outlineLevel="4">
      <c r="A441" s="5" t="s">
        <v>1744</v>
      </c>
      <c r="B441" s="56" t="s">
        <v>1745</v>
      </c>
      <c r="C441" s="22">
        <v>37529.33333333333</v>
      </c>
      <c r="D441" s="23">
        <v>37540.70833333333</v>
      </c>
      <c r="E441" s="24">
        <v>10</v>
      </c>
      <c r="F441" s="97"/>
      <c r="G441" s="46"/>
      <c r="H441" s="62"/>
      <c r="I441" s="62">
        <v>0</v>
      </c>
      <c r="J441" s="207"/>
      <c r="K441" s="46"/>
      <c r="L441" s="46"/>
      <c r="M441" s="216"/>
      <c r="N441" s="233"/>
    </row>
    <row r="442" spans="1:14" s="5" customFormat="1" ht="12.75" hidden="1" outlineLevel="4">
      <c r="A442" s="5" t="s">
        <v>1746</v>
      </c>
      <c r="B442" s="56" t="s">
        <v>1795</v>
      </c>
      <c r="C442" s="22">
        <v>37501.33333333333</v>
      </c>
      <c r="D442" s="23">
        <v>37603.70833333333</v>
      </c>
      <c r="E442" s="24">
        <v>75</v>
      </c>
      <c r="F442" s="97"/>
      <c r="G442" s="46"/>
      <c r="H442" s="62"/>
      <c r="I442" s="62">
        <v>0</v>
      </c>
      <c r="J442" s="207"/>
      <c r="K442" s="46"/>
      <c r="L442" s="46"/>
      <c r="M442" s="216"/>
      <c r="N442" s="233"/>
    </row>
    <row r="443" spans="1:14" s="1" customFormat="1" ht="12.75" outlineLevel="3" collapsed="1">
      <c r="A443" s="1" t="s">
        <v>1747</v>
      </c>
      <c r="B443" s="82" t="s">
        <v>1829</v>
      </c>
      <c r="C443" s="13">
        <v>37501.33333333333</v>
      </c>
      <c r="D443" s="14">
        <v>37596.70833333333</v>
      </c>
      <c r="E443" s="15">
        <v>70</v>
      </c>
      <c r="F443" s="92"/>
      <c r="G443" s="54"/>
      <c r="H443" s="59"/>
      <c r="I443" s="59">
        <f>I444</f>
        <v>33000</v>
      </c>
      <c r="J443" s="212"/>
      <c r="K443" s="54">
        <f>K444</f>
        <v>4</v>
      </c>
      <c r="L443" s="212">
        <f>L444</f>
        <v>22000</v>
      </c>
      <c r="M443" s="202">
        <f>L443-I443</f>
        <v>-11000</v>
      </c>
      <c r="N443" s="230"/>
    </row>
    <row r="444" spans="1:14" s="5" customFormat="1" ht="12.75" hidden="1" outlineLevel="4">
      <c r="A444" s="5" t="s">
        <v>1748</v>
      </c>
      <c r="B444" s="56" t="s">
        <v>1749</v>
      </c>
      <c r="C444" s="22">
        <v>37501.33333333333</v>
      </c>
      <c r="D444" s="23">
        <v>37554.70833333333</v>
      </c>
      <c r="E444" s="24">
        <v>40</v>
      </c>
      <c r="F444" s="97"/>
      <c r="G444" s="46"/>
      <c r="H444" s="62"/>
      <c r="I444" s="62">
        <f>I445</f>
        <v>33000</v>
      </c>
      <c r="J444" s="207">
        <v>16500</v>
      </c>
      <c r="K444" s="46">
        <f>'Cost 5_02'!E57</f>
        <v>4</v>
      </c>
      <c r="L444" s="207">
        <f>K444*K12</f>
        <v>22000</v>
      </c>
      <c r="M444" s="216"/>
      <c r="N444" s="233">
        <f>L444</f>
        <v>22000</v>
      </c>
    </row>
    <row r="445" spans="2:14" s="2" customFormat="1" ht="12.75" hidden="1" outlineLevel="6">
      <c r="B445" s="77" t="s">
        <v>1829</v>
      </c>
      <c r="C445" s="25">
        <v>37501.33333333333</v>
      </c>
      <c r="D445" s="26">
        <v>37554.70833333333</v>
      </c>
      <c r="E445" s="27"/>
      <c r="F445" s="93"/>
      <c r="G445" s="40">
        <v>6</v>
      </c>
      <c r="H445" s="63">
        <f>H12</f>
        <v>5500</v>
      </c>
      <c r="I445" s="63">
        <f>G445*H445</f>
        <v>33000</v>
      </c>
      <c r="J445" s="208"/>
      <c r="K445" s="40"/>
      <c r="L445" s="40"/>
      <c r="M445" s="223"/>
      <c r="N445" s="229"/>
    </row>
    <row r="446" spans="1:14" s="5" customFormat="1" ht="12.75" hidden="1" outlineLevel="4">
      <c r="A446" s="5" t="s">
        <v>1750</v>
      </c>
      <c r="B446" s="56" t="s">
        <v>1751</v>
      </c>
      <c r="C446" s="22">
        <v>37557.33333333333</v>
      </c>
      <c r="D446" s="23">
        <v>37582.70833333333</v>
      </c>
      <c r="E446" s="24">
        <v>20</v>
      </c>
      <c r="F446" s="97"/>
      <c r="G446" s="46"/>
      <c r="H446" s="62"/>
      <c r="I446" s="62">
        <v>0</v>
      </c>
      <c r="J446" s="207"/>
      <c r="K446" s="46"/>
      <c r="L446" s="46"/>
      <c r="M446" s="216"/>
      <c r="N446" s="233"/>
    </row>
    <row r="447" spans="1:14" s="5" customFormat="1" ht="12.75" hidden="1" outlineLevel="4">
      <c r="A447" s="5" t="s">
        <v>1752</v>
      </c>
      <c r="B447" s="56" t="s">
        <v>1753</v>
      </c>
      <c r="C447" s="22">
        <v>37585.33333333333</v>
      </c>
      <c r="D447" s="23">
        <v>37596.70833333333</v>
      </c>
      <c r="E447" s="24">
        <v>10</v>
      </c>
      <c r="F447" s="97"/>
      <c r="G447" s="46"/>
      <c r="H447" s="62"/>
      <c r="I447" s="62">
        <v>0</v>
      </c>
      <c r="J447" s="207"/>
      <c r="K447" s="46"/>
      <c r="L447" s="46"/>
      <c r="M447" s="216"/>
      <c r="N447" s="233"/>
    </row>
    <row r="448" spans="1:14" s="1" customFormat="1" ht="12.75" outlineLevel="3" collapsed="1">
      <c r="A448" s="1" t="s">
        <v>1754</v>
      </c>
      <c r="B448" s="82" t="s">
        <v>1755</v>
      </c>
      <c r="C448" s="13">
        <v>37656.33333333333</v>
      </c>
      <c r="D448" s="14">
        <v>38407.70833333333</v>
      </c>
      <c r="E448" s="15">
        <v>200</v>
      </c>
      <c r="F448" s="92"/>
      <c r="G448" s="54"/>
      <c r="H448" s="59"/>
      <c r="I448" s="59">
        <f>I449</f>
        <v>6000</v>
      </c>
      <c r="J448" s="212">
        <v>3000</v>
      </c>
      <c r="K448" s="54">
        <f>'Cost 5_02'!E53</f>
        <v>2</v>
      </c>
      <c r="L448" s="212">
        <f>K448*K13</f>
        <v>6000</v>
      </c>
      <c r="M448" s="202">
        <f>L448-I448</f>
        <v>0</v>
      </c>
      <c r="N448" s="230">
        <f>L448</f>
        <v>6000</v>
      </c>
    </row>
    <row r="449" spans="2:14" s="2" customFormat="1" ht="12" customHeight="1" hidden="1" outlineLevel="6">
      <c r="B449" s="77" t="s">
        <v>1841</v>
      </c>
      <c r="C449" s="25">
        <v>37656.33333333333</v>
      </c>
      <c r="D449" s="26">
        <v>38407.70833333333</v>
      </c>
      <c r="E449" s="27"/>
      <c r="F449" s="93"/>
      <c r="G449" s="40">
        <v>2</v>
      </c>
      <c r="H449" s="63">
        <f>H13</f>
        <v>3000</v>
      </c>
      <c r="I449" s="63">
        <f>G449*H449</f>
        <v>6000</v>
      </c>
      <c r="J449" s="208"/>
      <c r="K449" s="40"/>
      <c r="L449" s="40"/>
      <c r="M449" s="223"/>
      <c r="N449" s="229"/>
    </row>
    <row r="450" spans="1:14" s="1" customFormat="1" ht="12.75" outlineLevel="3" collapsed="1">
      <c r="A450" s="1" t="s">
        <v>1756</v>
      </c>
      <c r="B450" s="82" t="s">
        <v>1757</v>
      </c>
      <c r="C450" s="13">
        <v>37774.33333333333</v>
      </c>
      <c r="D450" s="14">
        <v>37813.70833333333</v>
      </c>
      <c r="E450" s="15">
        <v>30</v>
      </c>
      <c r="F450" s="92"/>
      <c r="G450" s="54"/>
      <c r="H450" s="59"/>
      <c r="I450" s="59">
        <v>0</v>
      </c>
      <c r="J450" s="212"/>
      <c r="K450" s="54"/>
      <c r="L450" s="54"/>
      <c r="M450" s="202"/>
      <c r="N450" s="230"/>
    </row>
    <row r="451" spans="1:14" s="5" customFormat="1" ht="12.75" hidden="1" outlineLevel="4">
      <c r="A451" s="5" t="s">
        <v>1758</v>
      </c>
      <c r="B451" s="56" t="s">
        <v>1759</v>
      </c>
      <c r="C451" s="22">
        <v>37774.33333333333</v>
      </c>
      <c r="D451" s="23">
        <v>37799.70833333333</v>
      </c>
      <c r="E451" s="24">
        <v>20</v>
      </c>
      <c r="F451" s="97"/>
      <c r="G451" s="46"/>
      <c r="H451" s="62"/>
      <c r="I451" s="62">
        <v>0</v>
      </c>
      <c r="J451" s="207"/>
      <c r="K451" s="46"/>
      <c r="L451" s="46"/>
      <c r="M451" s="216"/>
      <c r="N451" s="233"/>
    </row>
    <row r="452" spans="1:14" s="5" customFormat="1" ht="12.75" hidden="1" outlineLevel="4">
      <c r="A452" s="5" t="s">
        <v>1760</v>
      </c>
      <c r="B452" s="56" t="s">
        <v>1761</v>
      </c>
      <c r="C452" s="22">
        <v>37802.33333333333</v>
      </c>
      <c r="D452" s="23">
        <v>37813.70833333333</v>
      </c>
      <c r="E452" s="24">
        <v>10</v>
      </c>
      <c r="F452" s="97"/>
      <c r="G452" s="46"/>
      <c r="H452" s="62"/>
      <c r="I452" s="62">
        <v>0</v>
      </c>
      <c r="J452" s="207"/>
      <c r="K452" s="46"/>
      <c r="L452" s="46"/>
      <c r="M452" s="216"/>
      <c r="N452" s="233"/>
    </row>
    <row r="453" spans="1:14" s="1" customFormat="1" ht="12.75" outlineLevel="3" collapsed="1">
      <c r="A453" s="1" t="s">
        <v>1762</v>
      </c>
      <c r="B453" s="82" t="s">
        <v>10</v>
      </c>
      <c r="C453" s="13">
        <v>37774.33333333333</v>
      </c>
      <c r="D453" s="14">
        <v>37813.70833333333</v>
      </c>
      <c r="E453" s="15">
        <v>30</v>
      </c>
      <c r="F453" s="92"/>
      <c r="G453" s="54"/>
      <c r="H453" s="59"/>
      <c r="I453" s="59">
        <v>0</v>
      </c>
      <c r="J453" s="212"/>
      <c r="K453" s="54"/>
      <c r="L453" s="54"/>
      <c r="M453" s="202"/>
      <c r="N453" s="230"/>
    </row>
    <row r="454" spans="1:14" s="5" customFormat="1" ht="12.75" hidden="1" outlineLevel="4">
      <c r="A454" s="5" t="s">
        <v>1763</v>
      </c>
      <c r="B454" s="56" t="s">
        <v>12</v>
      </c>
      <c r="C454" s="22">
        <v>37774.33333333333</v>
      </c>
      <c r="D454" s="23">
        <v>37799.70833333333</v>
      </c>
      <c r="E454" s="24">
        <v>20</v>
      </c>
      <c r="F454" s="97"/>
      <c r="G454" s="46"/>
      <c r="H454" s="62"/>
      <c r="I454" s="62">
        <v>0</v>
      </c>
      <c r="J454" s="207"/>
      <c r="K454" s="46"/>
      <c r="L454" s="46"/>
      <c r="M454" s="216"/>
      <c r="N454" s="233"/>
    </row>
    <row r="455" spans="1:14" s="5" customFormat="1" ht="12.75" hidden="1" outlineLevel="4">
      <c r="A455" s="5" t="s">
        <v>1764</v>
      </c>
      <c r="B455" s="56" t="s">
        <v>14</v>
      </c>
      <c r="C455" s="22">
        <v>37802.33333333333</v>
      </c>
      <c r="D455" s="23">
        <v>37813.70833333333</v>
      </c>
      <c r="E455" s="24">
        <v>10</v>
      </c>
      <c r="F455" s="97"/>
      <c r="G455" s="46"/>
      <c r="H455" s="62"/>
      <c r="I455" s="62">
        <v>0</v>
      </c>
      <c r="J455" s="207"/>
      <c r="K455" s="46"/>
      <c r="L455" s="46"/>
      <c r="M455" s="216"/>
      <c r="N455" s="233"/>
    </row>
    <row r="456" spans="1:14" s="1" customFormat="1" ht="12.75" outlineLevel="3" collapsed="1">
      <c r="A456" s="1" t="s">
        <v>1765</v>
      </c>
      <c r="B456" s="82" t="s">
        <v>49</v>
      </c>
      <c r="C456" s="13">
        <v>37501.33333333333</v>
      </c>
      <c r="D456" s="14">
        <v>37662.70833333333</v>
      </c>
      <c r="E456" s="15">
        <v>105</v>
      </c>
      <c r="F456" s="92"/>
      <c r="G456" s="54"/>
      <c r="H456" s="59"/>
      <c r="I456" s="59">
        <f>I457</f>
        <v>45500</v>
      </c>
      <c r="J456" s="212"/>
      <c r="K456" s="54">
        <f>K457</f>
        <v>5</v>
      </c>
      <c r="L456" s="212">
        <f>L457</f>
        <v>7500</v>
      </c>
      <c r="M456" s="202">
        <f>L456-I456</f>
        <v>-38000</v>
      </c>
      <c r="N456" s="230"/>
    </row>
    <row r="457" spans="1:14" s="5" customFormat="1" ht="12.75" hidden="1" outlineLevel="4">
      <c r="A457" s="5" t="s">
        <v>1766</v>
      </c>
      <c r="B457" s="56" t="s">
        <v>1767</v>
      </c>
      <c r="C457" s="22">
        <v>37501.33333333333</v>
      </c>
      <c r="D457" s="23">
        <v>37603.70833333333</v>
      </c>
      <c r="E457" s="24">
        <v>75</v>
      </c>
      <c r="F457" s="97"/>
      <c r="G457" s="46"/>
      <c r="H457" s="62"/>
      <c r="I457" s="62">
        <f>I458</f>
        <v>45500</v>
      </c>
      <c r="J457" s="207">
        <v>15000</v>
      </c>
      <c r="K457" s="46">
        <f>'Cost 5_02'!E67+'Cost 5_02'!E68</f>
        <v>5</v>
      </c>
      <c r="L457" s="207">
        <f>K457*$K$11</f>
        <v>7500</v>
      </c>
      <c r="M457" s="216"/>
      <c r="N457" s="233">
        <f>L457</f>
        <v>7500</v>
      </c>
    </row>
    <row r="458" spans="2:14" ht="12.75" hidden="1" outlineLevel="6">
      <c r="B458" s="77" t="s">
        <v>335</v>
      </c>
      <c r="C458" s="25">
        <v>37501.33333333333</v>
      </c>
      <c r="D458" s="26">
        <v>37603.70833333333</v>
      </c>
      <c r="G458" s="40">
        <v>7</v>
      </c>
      <c r="H458" s="63">
        <f>H11</f>
        <v>6500</v>
      </c>
      <c r="I458" s="63">
        <f>G458*H458</f>
        <v>45500</v>
      </c>
      <c r="J458" s="208"/>
      <c r="N458" s="229"/>
    </row>
    <row r="459" spans="1:14" s="5" customFormat="1" ht="12.75" hidden="1" outlineLevel="4">
      <c r="A459" s="5" t="s">
        <v>1768</v>
      </c>
      <c r="B459" s="56" t="s">
        <v>52</v>
      </c>
      <c r="C459" s="22">
        <v>37606.33333333333</v>
      </c>
      <c r="D459" s="23">
        <v>37648.70833333333</v>
      </c>
      <c r="E459" s="24">
        <v>20</v>
      </c>
      <c r="F459" s="97"/>
      <c r="G459" s="46"/>
      <c r="H459" s="62"/>
      <c r="I459" s="62">
        <v>0</v>
      </c>
      <c r="J459" s="207"/>
      <c r="K459" s="46"/>
      <c r="L459" s="46"/>
      <c r="M459" s="216"/>
      <c r="N459" s="233"/>
    </row>
    <row r="460" spans="1:14" s="5" customFormat="1" ht="12.75" hidden="1" outlineLevel="4">
      <c r="A460" s="5" t="s">
        <v>1769</v>
      </c>
      <c r="B460" s="56" t="s">
        <v>54</v>
      </c>
      <c r="C460" s="22">
        <v>37649.33333333333</v>
      </c>
      <c r="D460" s="23">
        <v>37662.70833333333</v>
      </c>
      <c r="E460" s="24">
        <v>10</v>
      </c>
      <c r="F460" s="97"/>
      <c r="G460" s="46"/>
      <c r="H460" s="62"/>
      <c r="I460" s="62">
        <v>0</v>
      </c>
      <c r="J460" s="207"/>
      <c r="K460" s="46"/>
      <c r="L460" s="46"/>
      <c r="M460" s="216"/>
      <c r="N460" s="233"/>
    </row>
    <row r="461" spans="1:14" s="5" customFormat="1" ht="12.75" hidden="1" outlineLevel="4">
      <c r="A461" s="5" t="s">
        <v>1770</v>
      </c>
      <c r="B461" s="56" t="s">
        <v>1795</v>
      </c>
      <c r="C461" s="22">
        <v>37501.33333333333</v>
      </c>
      <c r="D461" s="23">
        <v>37603.70833333333</v>
      </c>
      <c r="E461" s="24">
        <v>75</v>
      </c>
      <c r="F461" s="97"/>
      <c r="G461" s="46"/>
      <c r="H461" s="62"/>
      <c r="I461" s="62">
        <v>0</v>
      </c>
      <c r="J461" s="207"/>
      <c r="K461" s="46"/>
      <c r="L461" s="46"/>
      <c r="M461" s="216"/>
      <c r="N461" s="233"/>
    </row>
    <row r="462" spans="1:14" s="4" customFormat="1" ht="12.75" outlineLevel="1">
      <c r="A462" s="4" t="s">
        <v>1771</v>
      </c>
      <c r="B462" s="91" t="s">
        <v>1772</v>
      </c>
      <c r="C462" s="16">
        <v>35704.33333333333</v>
      </c>
      <c r="D462" s="17">
        <v>38791.70833333333</v>
      </c>
      <c r="E462" s="18">
        <v>2109</v>
      </c>
      <c r="F462" s="95"/>
      <c r="G462" s="43"/>
      <c r="H462" s="60"/>
      <c r="I462" s="60">
        <v>10636471.81</v>
      </c>
      <c r="J462" s="205"/>
      <c r="K462" s="91"/>
      <c r="L462" s="91"/>
      <c r="M462" s="204"/>
      <c r="N462" s="231"/>
    </row>
    <row r="463" spans="1:14" s="4" customFormat="1" ht="12.75" outlineLevel="2">
      <c r="A463" s="4" t="s">
        <v>1686</v>
      </c>
      <c r="B463" s="91" t="s">
        <v>1775</v>
      </c>
      <c r="C463" s="16">
        <v>37501.33333333333</v>
      </c>
      <c r="D463" s="17">
        <v>37900.60208333333</v>
      </c>
      <c r="E463" s="18">
        <v>274.68</v>
      </c>
      <c r="F463" s="95"/>
      <c r="G463" s="44"/>
      <c r="H463" s="60"/>
      <c r="I463" s="60">
        <f>I464+I470+I476+I481+I483+I488+I491</f>
        <v>532145.8912456001</v>
      </c>
      <c r="J463" s="205">
        <f>I463/I462</f>
        <v>0.05003030147132972</v>
      </c>
      <c r="K463" s="91"/>
      <c r="L463" s="205">
        <f>L464+L470+L476+L481+L483+L491</f>
        <v>446800</v>
      </c>
      <c r="M463" s="204">
        <f>L463-I463</f>
        <v>-85345.89124560007</v>
      </c>
      <c r="N463" s="231"/>
    </row>
    <row r="464" spans="1:14" s="1" customFormat="1" ht="12.75" outlineLevel="3" collapsed="1">
      <c r="A464" s="1" t="s">
        <v>1687</v>
      </c>
      <c r="B464" s="82" t="s">
        <v>1730</v>
      </c>
      <c r="C464" s="13">
        <v>37501.33333333333</v>
      </c>
      <c r="D464" s="14">
        <v>37662.70833333333</v>
      </c>
      <c r="E464" s="15">
        <v>105</v>
      </c>
      <c r="F464" s="92"/>
      <c r="G464" s="42"/>
      <c r="H464" s="59"/>
      <c r="I464" s="59">
        <f>I465+I467+I468</f>
        <v>320650</v>
      </c>
      <c r="J464" s="212">
        <f>J465+J468</f>
        <v>267480</v>
      </c>
      <c r="K464" s="54">
        <f>K465</f>
        <v>65</v>
      </c>
      <c r="L464" s="212">
        <f>L465+L468</f>
        <v>336340</v>
      </c>
      <c r="M464" s="202">
        <f>L464-I464</f>
        <v>15690</v>
      </c>
      <c r="N464" s="230"/>
    </row>
    <row r="465" spans="1:14" s="5" customFormat="1" ht="12.75" hidden="1" outlineLevel="4" collapsed="1">
      <c r="A465" s="5" t="s">
        <v>1688</v>
      </c>
      <c r="B465" s="56" t="s">
        <v>1732</v>
      </c>
      <c r="C465" s="22">
        <v>37501.33333333333</v>
      </c>
      <c r="D465" s="23">
        <v>37603.70833333333</v>
      </c>
      <c r="E465" s="24">
        <v>75</v>
      </c>
      <c r="F465" s="97"/>
      <c r="G465" s="47"/>
      <c r="H465" s="62"/>
      <c r="I465" s="62">
        <f>I466</f>
        <v>317500</v>
      </c>
      <c r="J465" s="207">
        <v>264330</v>
      </c>
      <c r="K465" s="46">
        <f>'Cost 5_02'!D37+'Cost 5_02'!D38</f>
        <v>65</v>
      </c>
      <c r="L465" s="207">
        <f>K465*$K$9</f>
        <v>333190</v>
      </c>
      <c r="M465" s="216"/>
      <c r="N465" s="233">
        <f>L465</f>
        <v>333190</v>
      </c>
    </row>
    <row r="466" spans="2:14" s="2" customFormat="1" ht="12.75" hidden="1" outlineLevel="6">
      <c r="B466" s="77" t="s">
        <v>333</v>
      </c>
      <c r="C466" s="25">
        <v>37501.33333333333</v>
      </c>
      <c r="D466" s="26">
        <v>37603.70833333333</v>
      </c>
      <c r="E466" s="27"/>
      <c r="F466" s="93"/>
      <c r="G466" s="48">
        <v>127</v>
      </c>
      <c r="H466" s="63">
        <f>H9</f>
        <v>2500</v>
      </c>
      <c r="I466" s="63">
        <f>G466*H466</f>
        <v>317500</v>
      </c>
      <c r="J466" s="208"/>
      <c r="K466" s="40"/>
      <c r="L466" s="40"/>
      <c r="M466" s="223"/>
      <c r="N466" s="229"/>
    </row>
    <row r="467" spans="1:14" s="5" customFormat="1" ht="12.75" hidden="1" outlineLevel="4">
      <c r="A467" s="5" t="s">
        <v>1689</v>
      </c>
      <c r="B467" s="56" t="s">
        <v>1734</v>
      </c>
      <c r="C467" s="22">
        <v>37606.33333333333</v>
      </c>
      <c r="D467" s="23">
        <v>37648.70833333333</v>
      </c>
      <c r="E467" s="24">
        <v>20</v>
      </c>
      <c r="F467" s="97"/>
      <c r="G467" s="46"/>
      <c r="H467" s="62"/>
      <c r="I467" s="62">
        <v>0</v>
      </c>
      <c r="J467" s="207"/>
      <c r="K467" s="46"/>
      <c r="L467" s="46"/>
      <c r="M467" s="216"/>
      <c r="N467" s="233"/>
    </row>
    <row r="468" spans="1:14" s="5" customFormat="1" ht="12.75" hidden="1" outlineLevel="4" collapsed="1">
      <c r="A468" s="5" t="s">
        <v>1690</v>
      </c>
      <c r="B468" s="56" t="s">
        <v>1691</v>
      </c>
      <c r="C468" s="22">
        <v>37649.33333333333</v>
      </c>
      <c r="D468" s="23">
        <v>37662.70833333333</v>
      </c>
      <c r="E468" s="24">
        <v>10</v>
      </c>
      <c r="F468" s="97"/>
      <c r="G468" s="46"/>
      <c r="H468" s="62"/>
      <c r="I468" s="62">
        <v>3150</v>
      </c>
      <c r="J468" s="207">
        <v>3150</v>
      </c>
      <c r="K468" s="46"/>
      <c r="L468" s="62">
        <f>I468</f>
        <v>3150</v>
      </c>
      <c r="M468" s="216"/>
      <c r="N468" s="233">
        <f>L468</f>
        <v>3150</v>
      </c>
    </row>
    <row r="469" spans="2:14" s="2" customFormat="1" ht="12.75" hidden="1" outlineLevel="6">
      <c r="B469" s="77" t="s">
        <v>1794</v>
      </c>
      <c r="C469" s="25">
        <v>37649.33333333333</v>
      </c>
      <c r="D469" s="26">
        <v>37662.70833333333</v>
      </c>
      <c r="E469" s="27"/>
      <c r="F469" s="93"/>
      <c r="G469" s="40"/>
      <c r="H469" s="63"/>
      <c r="I469" s="63">
        <v>3150</v>
      </c>
      <c r="J469" s="208"/>
      <c r="K469" s="40"/>
      <c r="L469" s="40"/>
      <c r="M469" s="223"/>
      <c r="N469" s="229"/>
    </row>
    <row r="470" spans="1:14" s="1" customFormat="1" ht="12.75" outlineLevel="3">
      <c r="A470" s="1" t="s">
        <v>1692</v>
      </c>
      <c r="B470" s="82" t="s">
        <v>1739</v>
      </c>
      <c r="C470" s="13">
        <v>37501.33333333333</v>
      </c>
      <c r="D470" s="14">
        <v>37662.70833333333</v>
      </c>
      <c r="E470" s="15">
        <v>105</v>
      </c>
      <c r="F470" s="92"/>
      <c r="G470" s="54"/>
      <c r="H470" s="59"/>
      <c r="I470" s="59">
        <f>I471+I473+I474+I475</f>
        <v>70200</v>
      </c>
      <c r="J470" s="212">
        <f>J471</f>
        <v>35000</v>
      </c>
      <c r="K470" s="54"/>
      <c r="L470" s="212">
        <f>L471</f>
        <v>62000</v>
      </c>
      <c r="M470" s="202">
        <f>L470-I470</f>
        <v>-8200</v>
      </c>
      <c r="N470" s="230"/>
    </row>
    <row r="471" spans="1:14" s="5" customFormat="1" ht="12.75" outlineLevel="4" collapsed="1">
      <c r="A471" s="5" t="s">
        <v>1693</v>
      </c>
      <c r="B471" s="56" t="s">
        <v>1741</v>
      </c>
      <c r="C471" s="22">
        <v>37501.33333333333</v>
      </c>
      <c r="D471" s="23">
        <v>37603.70833333333</v>
      </c>
      <c r="E471" s="24">
        <v>75</v>
      </c>
      <c r="F471" s="97"/>
      <c r="G471" s="46"/>
      <c r="H471" s="62"/>
      <c r="I471" s="62">
        <f>I472</f>
        <v>70200</v>
      </c>
      <c r="J471" s="207">
        <v>35000</v>
      </c>
      <c r="K471" s="46">
        <f>'Cost 5_02'!D62+'Cost 5_02'!D63</f>
        <v>10</v>
      </c>
      <c r="L471" s="207">
        <f>K471*$K$10</f>
        <v>62000</v>
      </c>
      <c r="M471" s="216"/>
      <c r="N471" s="233">
        <f>L471</f>
        <v>62000</v>
      </c>
    </row>
    <row r="472" spans="2:14" s="2" customFormat="1" ht="12.75" hidden="1" outlineLevel="6">
      <c r="B472" s="77" t="s">
        <v>334</v>
      </c>
      <c r="C472" s="25">
        <v>37501.33333333333</v>
      </c>
      <c r="D472" s="26">
        <v>37603.70833333333</v>
      </c>
      <c r="E472" s="27"/>
      <c r="F472" s="93"/>
      <c r="G472" s="40">
        <v>9</v>
      </c>
      <c r="H472" s="63">
        <f>H10</f>
        <v>7800</v>
      </c>
      <c r="I472" s="63">
        <f>G472*H472</f>
        <v>70200</v>
      </c>
      <c r="J472" s="208"/>
      <c r="K472" s="40"/>
      <c r="L472" s="40"/>
      <c r="M472" s="223"/>
      <c r="N472" s="229"/>
    </row>
    <row r="473" spans="1:14" s="5" customFormat="1" ht="12.75" outlineLevel="4">
      <c r="A473" s="5" t="s">
        <v>1694</v>
      </c>
      <c r="B473" s="56" t="s">
        <v>1743</v>
      </c>
      <c r="C473" s="22">
        <v>37606.33333333333</v>
      </c>
      <c r="D473" s="23">
        <v>37648.70833333333</v>
      </c>
      <c r="E473" s="24">
        <v>20</v>
      </c>
      <c r="F473" s="97"/>
      <c r="G473" s="46"/>
      <c r="H473" s="62"/>
      <c r="I473" s="62">
        <v>0</v>
      </c>
      <c r="J473" s="207"/>
      <c r="K473" s="46"/>
      <c r="L473" s="46"/>
      <c r="M473" s="216"/>
      <c r="N473" s="233"/>
    </row>
    <row r="474" spans="1:14" s="5" customFormat="1" ht="12.75" outlineLevel="4">
      <c r="A474" s="5" t="s">
        <v>1695</v>
      </c>
      <c r="B474" s="56" t="s">
        <v>1696</v>
      </c>
      <c r="C474" s="22">
        <v>37649.33333333333</v>
      </c>
      <c r="D474" s="23">
        <v>37662.70833333333</v>
      </c>
      <c r="E474" s="24">
        <v>10</v>
      </c>
      <c r="F474" s="97"/>
      <c r="G474" s="46"/>
      <c r="H474" s="62"/>
      <c r="I474" s="62">
        <v>0</v>
      </c>
      <c r="J474" s="207"/>
      <c r="K474" s="46"/>
      <c r="L474" s="46"/>
      <c r="M474" s="216"/>
      <c r="N474" s="233"/>
    </row>
    <row r="475" spans="1:14" s="5" customFormat="1" ht="12.75" outlineLevel="4">
      <c r="A475" s="5" t="s">
        <v>1697</v>
      </c>
      <c r="B475" s="56" t="s">
        <v>1795</v>
      </c>
      <c r="C475" s="22">
        <v>37501.33333333333</v>
      </c>
      <c r="D475" s="23">
        <v>37603.70833333333</v>
      </c>
      <c r="E475" s="24">
        <v>75</v>
      </c>
      <c r="F475" s="97"/>
      <c r="G475" s="46"/>
      <c r="H475" s="62"/>
      <c r="I475" s="62">
        <v>0</v>
      </c>
      <c r="J475" s="207"/>
      <c r="K475" s="46"/>
      <c r="L475" s="46"/>
      <c r="M475" s="216"/>
      <c r="N475" s="233"/>
    </row>
    <row r="476" spans="1:14" s="1" customFormat="1" ht="12.75" outlineLevel="3" collapsed="1">
      <c r="A476" s="1" t="s">
        <v>1698</v>
      </c>
      <c r="B476" s="82" t="s">
        <v>1829</v>
      </c>
      <c r="C476" s="13">
        <v>37501.33333333333</v>
      </c>
      <c r="D476" s="14">
        <v>37641.70833333333</v>
      </c>
      <c r="E476" s="15">
        <v>90</v>
      </c>
      <c r="F476" s="92"/>
      <c r="G476" s="54"/>
      <c r="H476" s="59"/>
      <c r="I476" s="59">
        <f>I477+I479+I480</f>
        <v>44000</v>
      </c>
      <c r="J476" s="212">
        <f>J477</f>
        <v>16500</v>
      </c>
      <c r="K476" s="54">
        <f>K477</f>
        <v>4</v>
      </c>
      <c r="L476" s="212">
        <f>L477</f>
        <v>22000</v>
      </c>
      <c r="M476" s="202">
        <f>L476-I476</f>
        <v>-22000</v>
      </c>
      <c r="N476" s="230"/>
    </row>
    <row r="477" spans="1:14" s="5" customFormat="1" ht="12.75" hidden="1" outlineLevel="4" collapsed="1">
      <c r="A477" s="5" t="s">
        <v>1699</v>
      </c>
      <c r="B477" s="56" t="s">
        <v>1749</v>
      </c>
      <c r="C477" s="22">
        <v>37501.33333333333</v>
      </c>
      <c r="D477" s="23">
        <v>37582.70833333333</v>
      </c>
      <c r="E477" s="24">
        <v>60</v>
      </c>
      <c r="F477" s="97"/>
      <c r="G477" s="46"/>
      <c r="H477" s="62"/>
      <c r="I477" s="62">
        <f>I478</f>
        <v>44000</v>
      </c>
      <c r="J477" s="207">
        <v>16500</v>
      </c>
      <c r="K477" s="46">
        <f>'Cost 5_02'!D57</f>
        <v>4</v>
      </c>
      <c r="L477" s="207">
        <f>K477*$K$12</f>
        <v>22000</v>
      </c>
      <c r="M477" s="216"/>
      <c r="N477" s="233">
        <f>L477</f>
        <v>22000</v>
      </c>
    </row>
    <row r="478" spans="2:14" s="2" customFormat="1" ht="12.75" hidden="1" outlineLevel="6">
      <c r="B478" s="77" t="s">
        <v>1829</v>
      </c>
      <c r="C478" s="25">
        <v>37501.33333333333</v>
      </c>
      <c r="D478" s="26">
        <v>37582.70833333333</v>
      </c>
      <c r="E478" s="27"/>
      <c r="F478" s="93"/>
      <c r="G478" s="40">
        <v>8</v>
      </c>
      <c r="H478" s="63">
        <f>H12</f>
        <v>5500</v>
      </c>
      <c r="I478" s="63">
        <f>G478*H478</f>
        <v>44000</v>
      </c>
      <c r="J478" s="208"/>
      <c r="K478" s="40"/>
      <c r="L478" s="40"/>
      <c r="M478" s="223"/>
      <c r="N478" s="229"/>
    </row>
    <row r="479" spans="1:14" s="5" customFormat="1" ht="12.75" hidden="1" outlineLevel="4">
      <c r="A479" s="5" t="s">
        <v>1700</v>
      </c>
      <c r="B479" s="56" t="s">
        <v>1751</v>
      </c>
      <c r="C479" s="22">
        <v>37585.33333333333</v>
      </c>
      <c r="D479" s="23">
        <v>37627.70833333333</v>
      </c>
      <c r="E479" s="24">
        <v>20</v>
      </c>
      <c r="F479" s="97"/>
      <c r="G479" s="46"/>
      <c r="H479" s="62"/>
      <c r="I479" s="62">
        <v>0</v>
      </c>
      <c r="J479" s="207"/>
      <c r="K479" s="46"/>
      <c r="L479" s="46"/>
      <c r="M479" s="216"/>
      <c r="N479" s="233"/>
    </row>
    <row r="480" spans="1:14" s="5" customFormat="1" ht="12.75" hidden="1" outlineLevel="4">
      <c r="A480" s="5" t="s">
        <v>1701</v>
      </c>
      <c r="B480" s="56" t="s">
        <v>1702</v>
      </c>
      <c r="C480" s="22">
        <v>37628.33333333333</v>
      </c>
      <c r="D480" s="23">
        <v>37641.70833333333</v>
      </c>
      <c r="E480" s="24">
        <v>10</v>
      </c>
      <c r="F480" s="97"/>
      <c r="G480" s="46"/>
      <c r="H480" s="62"/>
      <c r="I480" s="62">
        <v>0</v>
      </c>
      <c r="J480" s="207"/>
      <c r="K480" s="46"/>
      <c r="L480" s="46"/>
      <c r="M480" s="216"/>
      <c r="N480" s="233"/>
    </row>
    <row r="481" spans="1:14" s="1" customFormat="1" ht="12.75" outlineLevel="3" collapsed="1">
      <c r="A481" s="1" t="s">
        <v>1703</v>
      </c>
      <c r="B481" s="82" t="s">
        <v>1840</v>
      </c>
      <c r="C481" s="13">
        <v>37501.33333333333</v>
      </c>
      <c r="D481" s="14">
        <v>37690.70833333333</v>
      </c>
      <c r="E481" s="15">
        <v>125</v>
      </c>
      <c r="F481" s="92"/>
      <c r="G481" s="54"/>
      <c r="H481" s="59"/>
      <c r="I481" s="59">
        <f>I482</f>
        <v>9000</v>
      </c>
      <c r="J481" s="212">
        <v>3000</v>
      </c>
      <c r="K481" s="54">
        <f>'Cost 5_02'!D53</f>
        <v>2</v>
      </c>
      <c r="L481" s="212">
        <f>K481*$K$13</f>
        <v>6000</v>
      </c>
      <c r="M481" s="202">
        <f>L481-I481</f>
        <v>-3000</v>
      </c>
      <c r="N481" s="230">
        <f>L481</f>
        <v>6000</v>
      </c>
    </row>
    <row r="482" spans="2:14" s="2" customFormat="1" ht="12.75" hidden="1" outlineLevel="6">
      <c r="B482" s="77" t="s">
        <v>339</v>
      </c>
      <c r="C482" s="25">
        <v>37501.33333333333</v>
      </c>
      <c r="D482" s="26">
        <v>37690.70833333333</v>
      </c>
      <c r="E482" s="27"/>
      <c r="F482" s="93"/>
      <c r="G482" s="40">
        <v>3</v>
      </c>
      <c r="H482" s="63">
        <f>H13</f>
        <v>3000</v>
      </c>
      <c r="I482" s="63">
        <f>G482*H482</f>
        <v>9000</v>
      </c>
      <c r="J482" s="208"/>
      <c r="K482" s="40"/>
      <c r="L482" s="40"/>
      <c r="M482" s="223"/>
      <c r="N482" s="229"/>
    </row>
    <row r="483" spans="1:14" s="1" customFormat="1" ht="12.75" outlineLevel="3" collapsed="1">
      <c r="A483" s="1" t="s">
        <v>1704</v>
      </c>
      <c r="B483" s="82" t="s">
        <v>1705</v>
      </c>
      <c r="C483" s="13">
        <v>37774.33333333333</v>
      </c>
      <c r="D483" s="14">
        <v>37900.60208333333</v>
      </c>
      <c r="E483" s="15">
        <v>90.68</v>
      </c>
      <c r="F483" s="92"/>
      <c r="G483" s="42"/>
      <c r="H483" s="59"/>
      <c r="I483" s="59">
        <f>I484+I486+I487</f>
        <v>29795.891245600003</v>
      </c>
      <c r="J483" s="212">
        <f>J484</f>
        <v>13847</v>
      </c>
      <c r="K483" s="54">
        <f>K484</f>
        <v>216</v>
      </c>
      <c r="L483" s="212">
        <f>L484</f>
        <v>12960</v>
      </c>
      <c r="M483" s="202">
        <f>L483-I483</f>
        <v>-16835.891245600003</v>
      </c>
      <c r="N483" s="230"/>
    </row>
    <row r="484" spans="1:14" s="5" customFormat="1" ht="12.75" hidden="1" outlineLevel="4" collapsed="1">
      <c r="A484" s="5" t="s">
        <v>1706</v>
      </c>
      <c r="B484" s="56" t="s">
        <v>340</v>
      </c>
      <c r="C484" s="22">
        <v>37774.33333333333</v>
      </c>
      <c r="D484" s="23">
        <v>37858.60208333333</v>
      </c>
      <c r="E484" s="24">
        <v>60.68</v>
      </c>
      <c r="F484" s="97"/>
      <c r="G484" s="47"/>
      <c r="H484" s="62"/>
      <c r="I484" s="62">
        <f>I485</f>
        <v>29795.891245600003</v>
      </c>
      <c r="J484" s="207">
        <v>13847</v>
      </c>
      <c r="K484" s="46">
        <f>'Cost 5_02'!D50</f>
        <v>216</v>
      </c>
      <c r="L484" s="207">
        <f>K484*$K$14</f>
        <v>12960</v>
      </c>
      <c r="M484" s="216"/>
      <c r="N484" s="233">
        <f>L484</f>
        <v>12960</v>
      </c>
    </row>
    <row r="485" spans="2:14" s="2" customFormat="1" ht="12.75" hidden="1" outlineLevel="6">
      <c r="B485" s="77" t="s">
        <v>4</v>
      </c>
      <c r="C485" s="25">
        <v>37774.33333333333</v>
      </c>
      <c r="D485" s="26">
        <v>37858.60208333333</v>
      </c>
      <c r="E485" s="27"/>
      <c r="F485" s="93"/>
      <c r="G485" s="48">
        <v>227</v>
      </c>
      <c r="H485" s="63">
        <f>H14</f>
        <v>131.2594328</v>
      </c>
      <c r="I485" s="63">
        <f>G485*H485</f>
        <v>29795.891245600003</v>
      </c>
      <c r="J485" s="208"/>
      <c r="K485" s="40"/>
      <c r="L485" s="40"/>
      <c r="M485" s="223"/>
      <c r="N485" s="229"/>
    </row>
    <row r="486" spans="1:14" s="5" customFormat="1" ht="12.75" hidden="1" outlineLevel="4">
      <c r="A486" s="5" t="s">
        <v>1707</v>
      </c>
      <c r="B486" s="56" t="s">
        <v>1708</v>
      </c>
      <c r="C486" s="22">
        <v>37858.60208333333</v>
      </c>
      <c r="D486" s="23">
        <v>37886.60208333333</v>
      </c>
      <c r="E486" s="24">
        <v>20</v>
      </c>
      <c r="F486" s="97"/>
      <c r="G486" s="46"/>
      <c r="H486" s="62"/>
      <c r="I486" s="62">
        <v>0</v>
      </c>
      <c r="J486" s="207"/>
      <c r="K486" s="46"/>
      <c r="L486" s="46"/>
      <c r="M486" s="216"/>
      <c r="N486" s="233"/>
    </row>
    <row r="487" spans="1:14" s="5" customFormat="1" ht="12.75" hidden="1" outlineLevel="4">
      <c r="A487" s="5" t="s">
        <v>1709</v>
      </c>
      <c r="B487" s="56" t="s">
        <v>1710</v>
      </c>
      <c r="C487" s="22">
        <v>37886.60208333333</v>
      </c>
      <c r="D487" s="23">
        <v>37900.60208333333</v>
      </c>
      <c r="E487" s="24">
        <v>10</v>
      </c>
      <c r="F487" s="97"/>
      <c r="G487" s="46"/>
      <c r="H487" s="62"/>
      <c r="I487" s="62">
        <v>0</v>
      </c>
      <c r="J487" s="207"/>
      <c r="K487" s="46"/>
      <c r="L487" s="46"/>
      <c r="M487" s="216"/>
      <c r="N487" s="233"/>
    </row>
    <row r="488" spans="1:14" s="1" customFormat="1" ht="12.75" outlineLevel="3" collapsed="1">
      <c r="A488" s="1" t="s">
        <v>1711</v>
      </c>
      <c r="B488" s="82" t="s">
        <v>1757</v>
      </c>
      <c r="C488" s="13">
        <v>37774.33333333333</v>
      </c>
      <c r="D488" s="14">
        <v>37813.70833333333</v>
      </c>
      <c r="E488" s="15">
        <v>30</v>
      </c>
      <c r="F488" s="92"/>
      <c r="G488" s="54"/>
      <c r="H488" s="59"/>
      <c r="I488" s="59">
        <v>0</v>
      </c>
      <c r="J488" s="212"/>
      <c r="K488" s="54"/>
      <c r="L488" s="54"/>
      <c r="M488" s="202"/>
      <c r="N488" s="230"/>
    </row>
    <row r="489" spans="1:14" s="5" customFormat="1" ht="12.75" hidden="1" outlineLevel="4">
      <c r="A489" s="5" t="s">
        <v>1712</v>
      </c>
      <c r="B489" s="56" t="s">
        <v>1759</v>
      </c>
      <c r="C489" s="22">
        <v>37774.33333333333</v>
      </c>
      <c r="D489" s="23">
        <v>37799.70833333333</v>
      </c>
      <c r="E489" s="24">
        <v>20</v>
      </c>
      <c r="F489" s="97"/>
      <c r="G489" s="46"/>
      <c r="H489" s="62"/>
      <c r="I489" s="62">
        <v>0</v>
      </c>
      <c r="J489" s="207"/>
      <c r="K489" s="46"/>
      <c r="L489" s="46"/>
      <c r="M489" s="216"/>
      <c r="N489" s="233"/>
    </row>
    <row r="490" spans="1:14" s="5" customFormat="1" ht="12.75" hidden="1" outlineLevel="4">
      <c r="A490" s="5" t="s">
        <v>1713</v>
      </c>
      <c r="B490" s="56" t="s">
        <v>1719</v>
      </c>
      <c r="C490" s="22">
        <v>37802.33333333333</v>
      </c>
      <c r="D490" s="23">
        <v>37813.70833333333</v>
      </c>
      <c r="E490" s="24">
        <v>10</v>
      </c>
      <c r="F490" s="97"/>
      <c r="G490" s="46"/>
      <c r="H490" s="62"/>
      <c r="I490" s="62">
        <v>0</v>
      </c>
      <c r="J490" s="207"/>
      <c r="K490" s="46"/>
      <c r="L490" s="46"/>
      <c r="M490" s="216"/>
      <c r="N490" s="233"/>
    </row>
    <row r="491" spans="1:14" s="1" customFormat="1" ht="12.75" outlineLevel="3" collapsed="1">
      <c r="A491" s="1" t="s">
        <v>1720</v>
      </c>
      <c r="B491" s="82" t="s">
        <v>49</v>
      </c>
      <c r="C491" s="13">
        <v>37501.33333333333</v>
      </c>
      <c r="D491" s="14">
        <v>37690.70833333333</v>
      </c>
      <c r="E491" s="15">
        <v>125</v>
      </c>
      <c r="F491" s="92"/>
      <c r="G491" s="54"/>
      <c r="H491" s="59"/>
      <c r="I491" s="59">
        <f>I492+I494+I495+I496</f>
        <v>58500</v>
      </c>
      <c r="J491" s="212">
        <f>J492</f>
        <v>20000</v>
      </c>
      <c r="K491" s="54">
        <f>K492</f>
        <v>5</v>
      </c>
      <c r="L491" s="212">
        <f>L492</f>
        <v>7500</v>
      </c>
      <c r="M491" s="202">
        <f>L491-I491</f>
        <v>-51000</v>
      </c>
      <c r="N491" s="230"/>
    </row>
    <row r="492" spans="1:14" s="5" customFormat="1" ht="12.75" hidden="1" outlineLevel="4" collapsed="1">
      <c r="A492" s="5" t="s">
        <v>1721</v>
      </c>
      <c r="B492" s="56" t="s">
        <v>1767</v>
      </c>
      <c r="C492" s="22">
        <v>37501.33333333333</v>
      </c>
      <c r="D492" s="23">
        <v>37603.70833333333</v>
      </c>
      <c r="E492" s="24">
        <v>75</v>
      </c>
      <c r="F492" s="97"/>
      <c r="G492" s="46"/>
      <c r="H492" s="62"/>
      <c r="I492" s="62">
        <f>I493</f>
        <v>58500</v>
      </c>
      <c r="J492" s="207">
        <v>20000</v>
      </c>
      <c r="K492" s="46">
        <f>'Cost 5_02'!D67+'Cost 5_02'!D68</f>
        <v>5</v>
      </c>
      <c r="L492" s="207">
        <f>K492*$K$11</f>
        <v>7500</v>
      </c>
      <c r="M492" s="216"/>
      <c r="N492" s="233">
        <f>L492</f>
        <v>7500</v>
      </c>
    </row>
    <row r="493" spans="2:14" ht="12.75" hidden="1" outlineLevel="6">
      <c r="B493" s="77" t="s">
        <v>335</v>
      </c>
      <c r="C493" s="25">
        <v>37501.33333333333</v>
      </c>
      <c r="D493" s="26">
        <v>37603.70833333333</v>
      </c>
      <c r="G493" s="40">
        <v>9</v>
      </c>
      <c r="H493" s="63">
        <f>H11</f>
        <v>6500</v>
      </c>
      <c r="I493" s="63">
        <f>G493*H493</f>
        <v>58500</v>
      </c>
      <c r="J493" s="208"/>
      <c r="N493" s="229"/>
    </row>
    <row r="494" spans="1:14" s="5" customFormat="1" ht="12.75" hidden="1" outlineLevel="4">
      <c r="A494" s="5" t="s">
        <v>1722</v>
      </c>
      <c r="B494" s="56" t="s">
        <v>52</v>
      </c>
      <c r="C494" s="22">
        <v>37606.33333333333</v>
      </c>
      <c r="D494" s="23">
        <v>37676.70833333333</v>
      </c>
      <c r="E494" s="24">
        <v>40</v>
      </c>
      <c r="F494" s="97"/>
      <c r="G494" s="46"/>
      <c r="H494" s="62"/>
      <c r="I494" s="62">
        <v>0</v>
      </c>
      <c r="J494" s="207"/>
      <c r="K494" s="46"/>
      <c r="L494" s="46"/>
      <c r="M494" s="216"/>
      <c r="N494" s="233"/>
    </row>
    <row r="495" spans="1:14" s="5" customFormat="1" ht="12.75" hidden="1" outlineLevel="4">
      <c r="A495" s="5" t="s">
        <v>1723</v>
      </c>
      <c r="B495" s="56" t="s">
        <v>54</v>
      </c>
      <c r="C495" s="22">
        <v>37677.33333333333</v>
      </c>
      <c r="D495" s="23">
        <v>37690.70833333333</v>
      </c>
      <c r="E495" s="24">
        <v>10</v>
      </c>
      <c r="F495" s="97"/>
      <c r="G495" s="46"/>
      <c r="H495" s="62"/>
      <c r="I495" s="62">
        <v>0</v>
      </c>
      <c r="J495" s="207"/>
      <c r="K495" s="46"/>
      <c r="L495" s="46"/>
      <c r="M495" s="216"/>
      <c r="N495" s="233"/>
    </row>
    <row r="496" spans="1:14" s="5" customFormat="1" ht="12.75" hidden="1" outlineLevel="4" collapsed="1">
      <c r="A496" s="5" t="s">
        <v>1724</v>
      </c>
      <c r="B496" s="56" t="s">
        <v>1795</v>
      </c>
      <c r="C496" s="22">
        <v>37501.33333333333</v>
      </c>
      <c r="D496" s="23">
        <v>37603.70833333333</v>
      </c>
      <c r="E496" s="24">
        <v>75</v>
      </c>
      <c r="F496" s="97"/>
      <c r="G496" s="46"/>
      <c r="H496" s="62"/>
      <c r="I496" s="62">
        <v>0</v>
      </c>
      <c r="J496" s="207"/>
      <c r="K496" s="46"/>
      <c r="L496" s="46"/>
      <c r="M496" s="216"/>
      <c r="N496" s="233"/>
    </row>
    <row r="497" spans="2:14" ht="12.75" hidden="1" outlineLevel="6">
      <c r="B497" s="76" t="s">
        <v>179</v>
      </c>
      <c r="C497" s="25">
        <v>36069.33333333333</v>
      </c>
      <c r="D497" s="26">
        <v>36082.70833333333</v>
      </c>
      <c r="I497" s="63">
        <v>2184</v>
      </c>
      <c r="J497" s="208"/>
      <c r="N497" s="229"/>
    </row>
    <row r="498" spans="1:14" s="4" customFormat="1" ht="12.75" outlineLevel="1" collapsed="1">
      <c r="A498" s="4" t="s">
        <v>1725</v>
      </c>
      <c r="B498" s="91" t="s">
        <v>181</v>
      </c>
      <c r="C498" s="16">
        <v>35704.33333333333</v>
      </c>
      <c r="D498" s="17">
        <v>38551.33333333333</v>
      </c>
      <c r="E498" s="18">
        <v>1946</v>
      </c>
      <c r="F498" s="95"/>
      <c r="G498" s="43"/>
      <c r="H498" s="60"/>
      <c r="I498" s="60">
        <v>7998117.5600000005</v>
      </c>
      <c r="J498" s="205"/>
      <c r="K498" s="91"/>
      <c r="L498" s="91"/>
      <c r="M498" s="204"/>
      <c r="N498" s="231"/>
    </row>
    <row r="499" spans="1:14" s="4" customFormat="1" ht="12.75" hidden="1" outlineLevel="2" collapsed="1">
      <c r="A499" s="4" t="s">
        <v>1650</v>
      </c>
      <c r="B499" s="91" t="s">
        <v>1775</v>
      </c>
      <c r="C499" s="16">
        <v>37501.33333333333</v>
      </c>
      <c r="D499" s="17">
        <v>37848.70833333333</v>
      </c>
      <c r="E499" s="18">
        <v>239</v>
      </c>
      <c r="F499" s="95"/>
      <c r="G499" s="44"/>
      <c r="H499" s="60"/>
      <c r="I499" s="60">
        <f>I500+I506+I512+I517+I519+I527</f>
        <v>356056.5235512</v>
      </c>
      <c r="J499" s="205">
        <f>I499/I498</f>
        <v>0.04451754064380119</v>
      </c>
      <c r="K499" s="91"/>
      <c r="L499" s="205">
        <f>L500+L506+L512+L517+L519+L527</f>
        <v>311926</v>
      </c>
      <c r="M499" s="204">
        <f>L499-I499</f>
        <v>-44130.52355119999</v>
      </c>
      <c r="N499" s="231"/>
    </row>
    <row r="500" spans="1:14" s="1" customFormat="1" ht="12.75" hidden="1" outlineLevel="3" collapsed="1">
      <c r="A500" s="1" t="s">
        <v>1651</v>
      </c>
      <c r="B500" s="82" t="s">
        <v>1730</v>
      </c>
      <c r="C500" s="13">
        <v>37501.33333333333</v>
      </c>
      <c r="D500" s="14">
        <v>37662.70833333333</v>
      </c>
      <c r="E500" s="15">
        <v>105</v>
      </c>
      <c r="F500" s="92"/>
      <c r="G500" s="42"/>
      <c r="H500" s="59"/>
      <c r="I500" s="59">
        <f>I501+I503+I504</f>
        <v>213150</v>
      </c>
      <c r="J500" s="212"/>
      <c r="K500" s="54">
        <f>K501</f>
        <v>46</v>
      </c>
      <c r="L500" s="212">
        <f>L501+L503+L504</f>
        <v>238946</v>
      </c>
      <c r="M500" s="202">
        <f>L500-I500</f>
        <v>25796</v>
      </c>
      <c r="N500" s="230"/>
    </row>
    <row r="501" spans="1:14" s="5" customFormat="1" ht="12.75" hidden="1" outlineLevel="4" collapsed="1">
      <c r="A501" s="5" t="s">
        <v>1652</v>
      </c>
      <c r="B501" s="56" t="s">
        <v>1732</v>
      </c>
      <c r="C501" s="22">
        <v>37501.33333333333</v>
      </c>
      <c r="D501" s="23">
        <v>37603.70833333333</v>
      </c>
      <c r="E501" s="24">
        <v>75</v>
      </c>
      <c r="F501" s="97"/>
      <c r="G501" s="47"/>
      <c r="H501" s="62"/>
      <c r="I501" s="62">
        <f>I502</f>
        <v>210000</v>
      </c>
      <c r="J501" s="207">
        <v>249912</v>
      </c>
      <c r="K501" s="46">
        <f>'Cost 5_02'!F37+'Cost 5_02'!F38</f>
        <v>46</v>
      </c>
      <c r="L501" s="207">
        <f>K501*$K$9</f>
        <v>235796</v>
      </c>
      <c r="M501" s="216"/>
      <c r="N501" s="233">
        <f>L501</f>
        <v>235796</v>
      </c>
    </row>
    <row r="502" spans="2:14" s="2" customFormat="1" ht="12.75" hidden="1" outlineLevel="6">
      <c r="B502" s="77" t="s">
        <v>333</v>
      </c>
      <c r="C502" s="25">
        <v>37501.33333333333</v>
      </c>
      <c r="D502" s="26">
        <v>37603.70833333333</v>
      </c>
      <c r="E502" s="27"/>
      <c r="F502" s="93"/>
      <c r="G502" s="48">
        <v>84</v>
      </c>
      <c r="H502" s="63">
        <f>H9</f>
        <v>2500</v>
      </c>
      <c r="I502" s="63">
        <f>G502*H502</f>
        <v>210000</v>
      </c>
      <c r="J502" s="208"/>
      <c r="K502" s="40"/>
      <c r="L502" s="40"/>
      <c r="M502" s="223"/>
      <c r="N502" s="229"/>
    </row>
    <row r="503" spans="1:14" s="5" customFormat="1" ht="12.75" hidden="1" outlineLevel="4">
      <c r="A503" s="5" t="s">
        <v>1653</v>
      </c>
      <c r="B503" s="56" t="s">
        <v>1734</v>
      </c>
      <c r="C503" s="22">
        <v>37606.33333333333</v>
      </c>
      <c r="D503" s="23">
        <v>37648.70833333333</v>
      </c>
      <c r="E503" s="24">
        <v>20</v>
      </c>
      <c r="F503" s="97"/>
      <c r="G503" s="46"/>
      <c r="H503" s="62"/>
      <c r="I503" s="62">
        <v>0</v>
      </c>
      <c r="J503" s="207"/>
      <c r="K503" s="46"/>
      <c r="L503" s="62">
        <f>I503</f>
        <v>0</v>
      </c>
      <c r="M503" s="216"/>
      <c r="N503" s="233"/>
    </row>
    <row r="504" spans="1:14" s="5" customFormat="1" ht="12.75" hidden="1" outlineLevel="4" collapsed="1">
      <c r="A504" s="5" t="s">
        <v>1654</v>
      </c>
      <c r="B504" s="56" t="s">
        <v>1691</v>
      </c>
      <c r="C504" s="22">
        <v>37649.33333333333</v>
      </c>
      <c r="D504" s="23">
        <v>37662.70833333333</v>
      </c>
      <c r="E504" s="24">
        <v>10</v>
      </c>
      <c r="F504" s="97"/>
      <c r="G504" s="46"/>
      <c r="H504" s="62"/>
      <c r="I504" s="62">
        <v>3150</v>
      </c>
      <c r="J504" s="207">
        <v>3150</v>
      </c>
      <c r="K504" s="46"/>
      <c r="L504" s="62">
        <f>I504</f>
        <v>3150</v>
      </c>
      <c r="M504" s="216"/>
      <c r="N504" s="233">
        <f>L504</f>
        <v>3150</v>
      </c>
    </row>
    <row r="505" spans="2:14" s="2" customFormat="1" ht="12.75" hidden="1" outlineLevel="6">
      <c r="B505" s="75" t="s">
        <v>1794</v>
      </c>
      <c r="C505" s="25">
        <v>37649.33333333333</v>
      </c>
      <c r="D505" s="26">
        <v>37662.70833333333</v>
      </c>
      <c r="E505" s="27"/>
      <c r="F505" s="93"/>
      <c r="G505" s="40"/>
      <c r="H505" s="63"/>
      <c r="I505" s="63">
        <v>3150</v>
      </c>
      <c r="J505" s="208"/>
      <c r="K505" s="40"/>
      <c r="L505" s="40"/>
      <c r="M505" s="223"/>
      <c r="N505" s="229"/>
    </row>
    <row r="506" spans="1:14" s="1" customFormat="1" ht="12.75" hidden="1" outlineLevel="3" collapsed="1">
      <c r="A506" s="1" t="s">
        <v>1655</v>
      </c>
      <c r="B506" s="82" t="s">
        <v>1739</v>
      </c>
      <c r="C506" s="13">
        <v>37501.33333333333</v>
      </c>
      <c r="D506" s="14">
        <v>37676.70833333333</v>
      </c>
      <c r="E506" s="15">
        <v>115</v>
      </c>
      <c r="F506" s="92"/>
      <c r="G506" s="54"/>
      <c r="H506" s="59"/>
      <c r="I506" s="59">
        <f>I507+I509+I510+I511</f>
        <v>54600</v>
      </c>
      <c r="J506" s="212"/>
      <c r="K506" s="54">
        <f>K507</f>
        <v>7</v>
      </c>
      <c r="L506" s="212">
        <f>L507</f>
        <v>43400</v>
      </c>
      <c r="M506" s="202">
        <f>L506-I506</f>
        <v>-11200</v>
      </c>
      <c r="N506" s="230"/>
    </row>
    <row r="507" spans="1:14" s="5" customFormat="1" ht="12.75" hidden="1" outlineLevel="4" collapsed="1">
      <c r="A507" s="5" t="s">
        <v>1656</v>
      </c>
      <c r="B507" s="56" t="s">
        <v>1657</v>
      </c>
      <c r="C507" s="22">
        <v>37501.33333333333</v>
      </c>
      <c r="D507" s="23">
        <v>37603.70833333333</v>
      </c>
      <c r="E507" s="24">
        <v>75</v>
      </c>
      <c r="F507" s="97"/>
      <c r="G507" s="46"/>
      <c r="H507" s="62"/>
      <c r="I507" s="62">
        <f>I508</f>
        <v>54600</v>
      </c>
      <c r="J507" s="207">
        <v>30000</v>
      </c>
      <c r="K507" s="46">
        <f>'Cost 5_02'!F62+'Cost 5_02'!F63</f>
        <v>7</v>
      </c>
      <c r="L507" s="207">
        <f>K507*$K$10</f>
        <v>43400</v>
      </c>
      <c r="M507" s="216"/>
      <c r="N507" s="233">
        <f>L507</f>
        <v>43400</v>
      </c>
    </row>
    <row r="508" spans="2:14" s="2" customFormat="1" ht="12.75" hidden="1" outlineLevel="6">
      <c r="B508" s="77" t="s">
        <v>334</v>
      </c>
      <c r="C508" s="25">
        <v>37501.33333333333</v>
      </c>
      <c r="D508" s="26">
        <v>37603.70833333333</v>
      </c>
      <c r="E508" s="27"/>
      <c r="F508" s="93"/>
      <c r="G508" s="40">
        <v>7</v>
      </c>
      <c r="H508" s="63">
        <f>H10</f>
        <v>7800</v>
      </c>
      <c r="I508" s="63">
        <f>G508*H508</f>
        <v>54600</v>
      </c>
      <c r="J508" s="208"/>
      <c r="K508" s="40"/>
      <c r="L508" s="40"/>
      <c r="M508" s="223"/>
      <c r="N508" s="229"/>
    </row>
    <row r="509" spans="1:14" s="5" customFormat="1" ht="12.75" hidden="1" outlineLevel="4">
      <c r="A509" s="5" t="s">
        <v>1658</v>
      </c>
      <c r="B509" s="56" t="s">
        <v>1743</v>
      </c>
      <c r="C509" s="22">
        <v>37635.33333333333</v>
      </c>
      <c r="D509" s="23">
        <v>37662.70833333333</v>
      </c>
      <c r="E509" s="24">
        <v>20</v>
      </c>
      <c r="F509" s="97"/>
      <c r="G509" s="46"/>
      <c r="H509" s="62"/>
      <c r="I509" s="62">
        <v>0</v>
      </c>
      <c r="J509" s="207"/>
      <c r="K509" s="46"/>
      <c r="L509" s="46"/>
      <c r="M509" s="216"/>
      <c r="N509" s="233"/>
    </row>
    <row r="510" spans="1:14" s="5" customFormat="1" ht="12.75" hidden="1" outlineLevel="4">
      <c r="A510" s="5" t="s">
        <v>1659</v>
      </c>
      <c r="B510" s="56" t="s">
        <v>1696</v>
      </c>
      <c r="C510" s="22">
        <v>37663.33333333333</v>
      </c>
      <c r="D510" s="23">
        <v>37676.70833333333</v>
      </c>
      <c r="E510" s="24">
        <v>10</v>
      </c>
      <c r="F510" s="97"/>
      <c r="G510" s="46"/>
      <c r="H510" s="62"/>
      <c r="I510" s="62">
        <v>0</v>
      </c>
      <c r="J510" s="207"/>
      <c r="K510" s="46"/>
      <c r="L510" s="46"/>
      <c r="M510" s="216"/>
      <c r="N510" s="233"/>
    </row>
    <row r="511" spans="1:14" s="5" customFormat="1" ht="12.75" hidden="1" outlineLevel="4">
      <c r="A511" s="5" t="s">
        <v>1660</v>
      </c>
      <c r="B511" s="56" t="s">
        <v>1795</v>
      </c>
      <c r="C511" s="22">
        <v>37501.33333333333</v>
      </c>
      <c r="D511" s="23">
        <v>37603.70833333333</v>
      </c>
      <c r="E511" s="24">
        <v>75</v>
      </c>
      <c r="F511" s="97"/>
      <c r="G511" s="46"/>
      <c r="H511" s="62"/>
      <c r="I511" s="62">
        <v>0</v>
      </c>
      <c r="J511" s="207"/>
      <c r="K511" s="46"/>
      <c r="L511" s="46"/>
      <c r="M511" s="216"/>
      <c r="N511" s="233"/>
    </row>
    <row r="512" spans="1:14" s="1" customFormat="1" ht="12.75" hidden="1" outlineLevel="3" collapsed="1">
      <c r="A512" s="1" t="s">
        <v>1661</v>
      </c>
      <c r="B512" s="82" t="s">
        <v>1829</v>
      </c>
      <c r="C512" s="13">
        <v>37501.33333333333</v>
      </c>
      <c r="D512" s="14">
        <v>37596.70833333333</v>
      </c>
      <c r="E512" s="15">
        <v>70</v>
      </c>
      <c r="F512" s="92"/>
      <c r="G512" s="54"/>
      <c r="H512" s="59"/>
      <c r="I512" s="59">
        <f>I513+I515+I516</f>
        <v>33000</v>
      </c>
      <c r="J512" s="212"/>
      <c r="K512" s="54">
        <f>K513</f>
        <v>3</v>
      </c>
      <c r="L512" s="212">
        <f>L513</f>
        <v>16500</v>
      </c>
      <c r="M512" s="202">
        <f>L512-I512</f>
        <v>-16500</v>
      </c>
      <c r="N512" s="230"/>
    </row>
    <row r="513" spans="1:14" s="5" customFormat="1" ht="12.75" hidden="1" outlineLevel="4" collapsed="1">
      <c r="A513" s="5" t="s">
        <v>1662</v>
      </c>
      <c r="B513" s="56" t="s">
        <v>1749</v>
      </c>
      <c r="C513" s="22">
        <v>37501.33333333333</v>
      </c>
      <c r="D513" s="23">
        <v>37554.70833333333</v>
      </c>
      <c r="E513" s="24">
        <v>40</v>
      </c>
      <c r="F513" s="97"/>
      <c r="G513" s="46"/>
      <c r="H513" s="62"/>
      <c r="I513" s="62">
        <f>I514</f>
        <v>33000</v>
      </c>
      <c r="J513" s="207">
        <v>16500</v>
      </c>
      <c r="K513" s="46">
        <f>'Cost 5_02'!F57</f>
        <v>3</v>
      </c>
      <c r="L513" s="207">
        <f>K513*$K$12</f>
        <v>16500</v>
      </c>
      <c r="M513" s="216"/>
      <c r="N513" s="233">
        <f>L513</f>
        <v>16500</v>
      </c>
    </row>
    <row r="514" spans="2:14" s="2" customFormat="1" ht="12.75" hidden="1" outlineLevel="6">
      <c r="B514" s="77" t="s">
        <v>1829</v>
      </c>
      <c r="C514" s="25">
        <v>37501.33333333333</v>
      </c>
      <c r="D514" s="26">
        <v>37554.70833333333</v>
      </c>
      <c r="E514" s="27"/>
      <c r="F514" s="93"/>
      <c r="G514" s="40">
        <v>6</v>
      </c>
      <c r="H514" s="63">
        <f>H12</f>
        <v>5500</v>
      </c>
      <c r="I514" s="63">
        <f>G514*H514</f>
        <v>33000</v>
      </c>
      <c r="J514" s="208"/>
      <c r="K514" s="40"/>
      <c r="L514" s="40"/>
      <c r="M514" s="223"/>
      <c r="N514" s="229"/>
    </row>
    <row r="515" spans="1:14" s="5" customFormat="1" ht="12.75" hidden="1" outlineLevel="4">
      <c r="A515" s="5" t="s">
        <v>1663</v>
      </c>
      <c r="B515" s="56" t="s">
        <v>1751</v>
      </c>
      <c r="C515" s="22">
        <v>37557.33333333333</v>
      </c>
      <c r="D515" s="23">
        <v>37582.70833333333</v>
      </c>
      <c r="E515" s="24">
        <v>20</v>
      </c>
      <c r="F515" s="97"/>
      <c r="G515" s="46"/>
      <c r="H515" s="62"/>
      <c r="I515" s="62">
        <v>0</v>
      </c>
      <c r="J515" s="207"/>
      <c r="K515" s="46"/>
      <c r="L515" s="46"/>
      <c r="M515" s="216"/>
      <c r="N515" s="233"/>
    </row>
    <row r="516" spans="1:14" s="5" customFormat="1" ht="12.75" hidden="1" outlineLevel="4">
      <c r="A516" s="5" t="s">
        <v>1664</v>
      </c>
      <c r="B516" s="56" t="s">
        <v>1702</v>
      </c>
      <c r="C516" s="22">
        <v>37585.33333333333</v>
      </c>
      <c r="D516" s="23">
        <v>37596.70833333333</v>
      </c>
      <c r="E516" s="24">
        <v>10</v>
      </c>
      <c r="F516" s="97"/>
      <c r="G516" s="46"/>
      <c r="H516" s="62"/>
      <c r="I516" s="62">
        <v>0</v>
      </c>
      <c r="J516" s="207"/>
      <c r="K516" s="46"/>
      <c r="M516" s="216"/>
      <c r="N516" s="233"/>
    </row>
    <row r="517" spans="1:14" s="1" customFormat="1" ht="12.75" hidden="1" outlineLevel="3" collapsed="1">
      <c r="A517" s="1" t="s">
        <v>1665</v>
      </c>
      <c r="B517" s="82" t="s">
        <v>1840</v>
      </c>
      <c r="C517" s="13">
        <v>37501.33333333333</v>
      </c>
      <c r="D517" s="14">
        <v>37655.70833333333</v>
      </c>
      <c r="E517" s="15">
        <v>100</v>
      </c>
      <c r="F517" s="92"/>
      <c r="G517" s="54"/>
      <c r="H517" s="59"/>
      <c r="I517" s="59">
        <f>I518</f>
        <v>6000</v>
      </c>
      <c r="J517" s="212">
        <v>3000</v>
      </c>
      <c r="K517" s="54">
        <f>'Cost 5_02'!F53</f>
        <v>2</v>
      </c>
      <c r="L517" s="212">
        <f>K517*$K$13</f>
        <v>6000</v>
      </c>
      <c r="M517" s="202">
        <f>L517-I517</f>
        <v>0</v>
      </c>
      <c r="N517" s="230">
        <f>L517</f>
        <v>6000</v>
      </c>
    </row>
    <row r="518" spans="2:14" s="2" customFormat="1" ht="12.75" hidden="1" outlineLevel="6">
      <c r="B518" s="77" t="s">
        <v>1841</v>
      </c>
      <c r="C518" s="25">
        <v>37501.33333333333</v>
      </c>
      <c r="D518" s="26">
        <v>37655.70833333333</v>
      </c>
      <c r="E518" s="27"/>
      <c r="F518" s="93"/>
      <c r="G518" s="40">
        <v>2</v>
      </c>
      <c r="H518" s="63">
        <f>H13</f>
        <v>3000</v>
      </c>
      <c r="I518" s="63">
        <f>G518*H518</f>
        <v>6000</v>
      </c>
      <c r="J518" s="208"/>
      <c r="K518" s="40"/>
      <c r="L518" s="40"/>
      <c r="M518" s="223"/>
      <c r="N518" s="229"/>
    </row>
    <row r="519" spans="1:14" s="1" customFormat="1" ht="12.75" hidden="1" outlineLevel="3" collapsed="1">
      <c r="A519" s="1" t="s">
        <v>1666</v>
      </c>
      <c r="B519" s="82" t="s">
        <v>1674</v>
      </c>
      <c r="C519" s="13">
        <v>37774.33333333333</v>
      </c>
      <c r="D519" s="14">
        <v>37848.70833333333</v>
      </c>
      <c r="E519" s="15">
        <v>55</v>
      </c>
      <c r="F519" s="92"/>
      <c r="G519" s="54"/>
      <c r="H519" s="59"/>
      <c r="I519" s="59">
        <f>I520+I522+I523</f>
        <v>3806.5235512000004</v>
      </c>
      <c r="J519" s="212"/>
      <c r="K519" s="54">
        <f>K520</f>
        <v>18</v>
      </c>
      <c r="L519" s="212">
        <f>L520</f>
        <v>1080</v>
      </c>
      <c r="M519" s="202">
        <f>L519-I519</f>
        <v>-2726.5235512000004</v>
      </c>
      <c r="N519" s="230"/>
    </row>
    <row r="520" spans="1:14" s="5" customFormat="1" ht="12.75" hidden="1" outlineLevel="4" collapsed="1">
      <c r="A520" s="5" t="s">
        <v>1675</v>
      </c>
      <c r="B520" s="56" t="s">
        <v>340</v>
      </c>
      <c r="C520" s="22">
        <v>37774.33333333333</v>
      </c>
      <c r="D520" s="23">
        <v>37806.70833333333</v>
      </c>
      <c r="E520" s="24">
        <v>25</v>
      </c>
      <c r="F520" s="97"/>
      <c r="G520" s="46"/>
      <c r="H520" s="62"/>
      <c r="I520" s="62">
        <f>I521</f>
        <v>3806.5235512000004</v>
      </c>
      <c r="J520" s="207">
        <v>1769</v>
      </c>
      <c r="K520" s="46">
        <f>'Cost 5_02'!F50</f>
        <v>18</v>
      </c>
      <c r="L520" s="207">
        <f>K520*$K$14</f>
        <v>1080</v>
      </c>
      <c r="M520" s="216"/>
      <c r="N520" s="233">
        <f>L520</f>
        <v>1080</v>
      </c>
    </row>
    <row r="521" spans="2:14" s="2" customFormat="1" ht="12.75" hidden="1" outlineLevel="6">
      <c r="B521" s="77" t="s">
        <v>4</v>
      </c>
      <c r="C521" s="25">
        <v>37774.33333333333</v>
      </c>
      <c r="D521" s="26">
        <v>37806.70833333333</v>
      </c>
      <c r="E521" s="27"/>
      <c r="F521" s="93"/>
      <c r="G521" s="40">
        <v>29</v>
      </c>
      <c r="H521" s="63">
        <f>H14</f>
        <v>131.2594328</v>
      </c>
      <c r="I521" s="63">
        <f>G521*H521</f>
        <v>3806.5235512000004</v>
      </c>
      <c r="J521" s="208"/>
      <c r="K521" s="40"/>
      <c r="L521" s="40"/>
      <c r="M521" s="223"/>
      <c r="N521" s="229"/>
    </row>
    <row r="522" spans="1:14" s="5" customFormat="1" ht="12.75" hidden="1" outlineLevel="4">
      <c r="A522" s="5" t="s">
        <v>1676</v>
      </c>
      <c r="B522" s="56" t="s">
        <v>1708</v>
      </c>
      <c r="C522" s="22">
        <v>37809.33333333333</v>
      </c>
      <c r="D522" s="23">
        <v>37834.70833333333</v>
      </c>
      <c r="E522" s="24">
        <v>20</v>
      </c>
      <c r="F522" s="97"/>
      <c r="G522" s="46"/>
      <c r="H522" s="62"/>
      <c r="I522" s="62">
        <v>0</v>
      </c>
      <c r="J522" s="207"/>
      <c r="K522" s="46"/>
      <c r="L522" s="46"/>
      <c r="M522" s="216"/>
      <c r="N522" s="233"/>
    </row>
    <row r="523" spans="1:14" s="5" customFormat="1" ht="12.75" hidden="1" outlineLevel="4">
      <c r="A523" s="5" t="s">
        <v>1677</v>
      </c>
      <c r="B523" s="56" t="s">
        <v>1710</v>
      </c>
      <c r="C523" s="22">
        <v>37837.33333333333</v>
      </c>
      <c r="D523" s="23">
        <v>37848.70833333333</v>
      </c>
      <c r="E523" s="24">
        <v>10</v>
      </c>
      <c r="F523" s="97"/>
      <c r="G523" s="46"/>
      <c r="H523" s="62"/>
      <c r="I523" s="62">
        <v>0</v>
      </c>
      <c r="J523" s="207"/>
      <c r="K523" s="46"/>
      <c r="L523" s="46"/>
      <c r="M523" s="216"/>
      <c r="N523" s="233"/>
    </row>
    <row r="524" spans="1:14" s="1" customFormat="1" ht="12.75" hidden="1" outlineLevel="3" collapsed="1">
      <c r="A524" s="1" t="s">
        <v>1678</v>
      </c>
      <c r="B524" s="82" t="s">
        <v>1757</v>
      </c>
      <c r="C524" s="13">
        <v>37774.33333333333</v>
      </c>
      <c r="D524" s="14">
        <v>37813.70833333333</v>
      </c>
      <c r="E524" s="15">
        <v>30</v>
      </c>
      <c r="F524" s="92"/>
      <c r="G524" s="54"/>
      <c r="H524" s="59"/>
      <c r="I524" s="59">
        <v>0</v>
      </c>
      <c r="J524" s="212"/>
      <c r="K524" s="54"/>
      <c r="L524" s="54"/>
      <c r="M524" s="202"/>
      <c r="N524" s="230"/>
    </row>
    <row r="525" spans="1:14" s="5" customFormat="1" ht="12.75" hidden="1" outlineLevel="4">
      <c r="A525" s="5" t="s">
        <v>1679</v>
      </c>
      <c r="B525" s="56" t="s">
        <v>1759</v>
      </c>
      <c r="C525" s="22">
        <v>37774.33333333333</v>
      </c>
      <c r="D525" s="23">
        <v>37799.70833333333</v>
      </c>
      <c r="E525" s="24">
        <v>20</v>
      </c>
      <c r="F525" s="97"/>
      <c r="G525" s="46"/>
      <c r="H525" s="62"/>
      <c r="I525" s="62">
        <v>0</v>
      </c>
      <c r="J525" s="207"/>
      <c r="K525" s="46"/>
      <c r="L525" s="46"/>
      <c r="M525" s="216"/>
      <c r="N525" s="233"/>
    </row>
    <row r="526" spans="1:14" s="5" customFormat="1" ht="12.75" hidden="1" outlineLevel="4">
      <c r="A526" s="5" t="s">
        <v>1680</v>
      </c>
      <c r="B526" s="56" t="s">
        <v>1719</v>
      </c>
      <c r="C526" s="22">
        <v>37802.33333333333</v>
      </c>
      <c r="D526" s="23">
        <v>37813.70833333333</v>
      </c>
      <c r="E526" s="24">
        <v>10</v>
      </c>
      <c r="F526" s="97"/>
      <c r="G526" s="46"/>
      <c r="H526" s="62"/>
      <c r="I526" s="62">
        <v>0</v>
      </c>
      <c r="J526" s="207"/>
      <c r="K526" s="46"/>
      <c r="L526" s="46"/>
      <c r="M526" s="216"/>
      <c r="N526" s="233"/>
    </row>
    <row r="527" spans="1:14" s="1" customFormat="1" ht="12.75" hidden="1" outlineLevel="3" collapsed="1">
      <c r="A527" s="1" t="s">
        <v>1681</v>
      </c>
      <c r="B527" s="82" t="s">
        <v>49</v>
      </c>
      <c r="C527" s="13">
        <v>37501.33333333333</v>
      </c>
      <c r="D527" s="14">
        <v>37662.70833333333</v>
      </c>
      <c r="E527" s="15">
        <v>105</v>
      </c>
      <c r="F527" s="92"/>
      <c r="G527" s="54"/>
      <c r="H527" s="59"/>
      <c r="I527" s="59">
        <f>I528+I530+I531+I532</f>
        <v>45500</v>
      </c>
      <c r="J527" s="212"/>
      <c r="K527" s="54">
        <f>K528</f>
        <v>4</v>
      </c>
      <c r="L527" s="212">
        <f>L528</f>
        <v>6000</v>
      </c>
      <c r="M527" s="202">
        <f>L527-I527</f>
        <v>-39500</v>
      </c>
      <c r="N527" s="230"/>
    </row>
    <row r="528" spans="1:14" s="5" customFormat="1" ht="12.75" hidden="1" outlineLevel="4" collapsed="1">
      <c r="A528" s="5" t="s">
        <v>1682</v>
      </c>
      <c r="B528" s="56" t="s">
        <v>1767</v>
      </c>
      <c r="C528" s="22">
        <v>37501.33333333333</v>
      </c>
      <c r="D528" s="23">
        <v>37603.70833333333</v>
      </c>
      <c r="E528" s="24">
        <v>75</v>
      </c>
      <c r="F528" s="97"/>
      <c r="G528" s="46"/>
      <c r="H528" s="62"/>
      <c r="I528" s="62">
        <f>I529</f>
        <v>45500</v>
      </c>
      <c r="J528" s="207">
        <v>15000</v>
      </c>
      <c r="K528" s="46">
        <f>'Cost 5_02'!F67+'Cost 5_02'!F68</f>
        <v>4</v>
      </c>
      <c r="L528" s="207">
        <f>K528*$K$11</f>
        <v>6000</v>
      </c>
      <c r="M528" s="216"/>
      <c r="N528" s="233">
        <f>L528</f>
        <v>6000</v>
      </c>
    </row>
    <row r="529" spans="2:14" ht="12.75" hidden="1" outlineLevel="6">
      <c r="B529" s="77" t="s">
        <v>335</v>
      </c>
      <c r="C529" s="25">
        <v>37501.33333333333</v>
      </c>
      <c r="D529" s="26">
        <v>37603.70833333333</v>
      </c>
      <c r="G529" s="40">
        <v>7</v>
      </c>
      <c r="H529" s="63">
        <f>H11</f>
        <v>6500</v>
      </c>
      <c r="I529" s="63">
        <f>G529*H529</f>
        <v>45500</v>
      </c>
      <c r="J529" s="208"/>
      <c r="N529" s="229"/>
    </row>
    <row r="530" spans="1:14" s="5" customFormat="1" ht="12.75" hidden="1" outlineLevel="4">
      <c r="A530" s="5" t="s">
        <v>1683</v>
      </c>
      <c r="B530" s="56" t="s">
        <v>52</v>
      </c>
      <c r="C530" s="22">
        <v>37606.33333333333</v>
      </c>
      <c r="D530" s="23">
        <v>37648.70833333333</v>
      </c>
      <c r="E530" s="24">
        <v>20</v>
      </c>
      <c r="F530" s="97"/>
      <c r="G530" s="46"/>
      <c r="H530" s="62"/>
      <c r="I530" s="62">
        <v>0</v>
      </c>
      <c r="J530" s="207"/>
      <c r="K530" s="46"/>
      <c r="L530" s="46"/>
      <c r="M530" s="216"/>
      <c r="N530" s="233"/>
    </row>
    <row r="531" spans="1:14" s="5" customFormat="1" ht="12.75" hidden="1" outlineLevel="4">
      <c r="A531" s="5" t="s">
        <v>1684</v>
      </c>
      <c r="B531" s="56" t="s">
        <v>54</v>
      </c>
      <c r="C531" s="22">
        <v>37649.33333333333</v>
      </c>
      <c r="D531" s="23">
        <v>37662.70833333333</v>
      </c>
      <c r="E531" s="24">
        <v>10</v>
      </c>
      <c r="F531" s="97"/>
      <c r="G531" s="46"/>
      <c r="H531" s="62"/>
      <c r="I531" s="62">
        <v>0</v>
      </c>
      <c r="J531" s="207"/>
      <c r="K531" s="46"/>
      <c r="L531" s="46"/>
      <c r="M531" s="216"/>
      <c r="N531" s="233"/>
    </row>
    <row r="532" spans="1:14" s="5" customFormat="1" ht="12.75" hidden="1" outlineLevel="4">
      <c r="A532" s="5" t="s">
        <v>1685</v>
      </c>
      <c r="B532" s="56" t="s">
        <v>1795</v>
      </c>
      <c r="C532" s="22">
        <v>37501.33333333333</v>
      </c>
      <c r="D532" s="23">
        <v>37603.70833333333</v>
      </c>
      <c r="E532" s="24">
        <v>75</v>
      </c>
      <c r="F532" s="97"/>
      <c r="G532" s="46"/>
      <c r="H532" s="62"/>
      <c r="I532" s="62">
        <v>0</v>
      </c>
      <c r="J532" s="207"/>
      <c r="K532" s="46"/>
      <c r="L532" s="46"/>
      <c r="M532" s="216"/>
      <c r="N532" s="233"/>
    </row>
    <row r="533" ht="12.75">
      <c r="N533" s="229"/>
    </row>
    <row r="534" spans="2:14" ht="12.75">
      <c r="B534" s="1" t="s">
        <v>1060</v>
      </c>
      <c r="C534" s="54"/>
      <c r="D534" s="14"/>
      <c r="E534" s="15"/>
      <c r="F534" s="92"/>
      <c r="G534" s="54"/>
      <c r="H534" s="59"/>
      <c r="I534" s="59"/>
      <c r="J534" s="202"/>
      <c r="K534" s="54"/>
      <c r="L534" s="54"/>
      <c r="M534" s="202">
        <f>M499+M463+M430+M25</f>
        <v>150687.60520319972</v>
      </c>
      <c r="N534" s="229"/>
    </row>
    <row r="541" ht="12.75"/>
    <row r="542" ht="12.75"/>
    <row r="544" ht="12.75"/>
    <row r="545" ht="12.75"/>
    <row r="546" ht="12.75"/>
    <row r="547" ht="12.75"/>
    <row r="548" ht="12.75"/>
    <row r="549" ht="12.75"/>
    <row r="608" ht="12.75"/>
    <row r="609" ht="12.75"/>
    <row r="610" ht="12.75"/>
  </sheetData>
  <mergeCells count="1">
    <mergeCell ref="K17:L17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outlinePr summaryBelow="0"/>
  </sheetPr>
  <dimension ref="A1:G59"/>
  <sheetViews>
    <sheetView workbookViewId="0" topLeftCell="A1">
      <selection activeCell="F26" sqref="F26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473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499</v>
      </c>
      <c r="B6" s="105">
        <v>1236.76</v>
      </c>
      <c r="E6" s="2"/>
    </row>
    <row r="7" spans="2:6" ht="12.75" outlineLevel="1">
      <c r="B7" s="105"/>
      <c r="C7" s="136">
        <v>618.38</v>
      </c>
      <c r="D7" t="s">
        <v>457</v>
      </c>
      <c r="E7" t="s">
        <v>187</v>
      </c>
      <c r="F7" s="2" t="s">
        <v>189</v>
      </c>
    </row>
    <row r="8" spans="2:6" ht="12.75" outlineLevel="1">
      <c r="B8" s="105"/>
      <c r="C8" s="136">
        <v>618.38</v>
      </c>
      <c r="D8" t="s">
        <v>458</v>
      </c>
      <c r="E8" t="s">
        <v>187</v>
      </c>
      <c r="F8" s="2" t="s">
        <v>189</v>
      </c>
    </row>
    <row r="9" spans="2:5" ht="12.75" outlineLevel="1">
      <c r="B9" s="105"/>
      <c r="C9" s="136">
        <f>SUM(C7:C8)</f>
        <v>1236.76</v>
      </c>
      <c r="D9" t="s">
        <v>358</v>
      </c>
      <c r="E9" s="2"/>
    </row>
    <row r="10" spans="1:5" ht="12.75">
      <c r="A10" t="s">
        <v>625</v>
      </c>
      <c r="B10" s="105">
        <v>732.94</v>
      </c>
      <c r="E10" s="2"/>
    </row>
    <row r="11" spans="2:6" ht="12.75" outlineLevel="1">
      <c r="B11" s="105"/>
      <c r="C11" s="136">
        <v>57.94</v>
      </c>
      <c r="D11" t="s">
        <v>461</v>
      </c>
      <c r="E11" t="s">
        <v>182</v>
      </c>
      <c r="F11" s="2" t="s">
        <v>190</v>
      </c>
    </row>
    <row r="12" spans="2:6" ht="12.75" outlineLevel="1">
      <c r="B12" s="105"/>
      <c r="C12" s="136">
        <v>600</v>
      </c>
      <c r="D12" t="s">
        <v>462</v>
      </c>
      <c r="E12" t="s">
        <v>182</v>
      </c>
      <c r="F12" s="2" t="s">
        <v>190</v>
      </c>
    </row>
    <row r="13" spans="2:6" ht="12.75" outlineLevel="1">
      <c r="B13" s="105"/>
      <c r="C13" s="136">
        <v>75</v>
      </c>
      <c r="D13" t="s">
        <v>463</v>
      </c>
      <c r="E13" t="s">
        <v>182</v>
      </c>
      <c r="F13" s="2" t="s">
        <v>190</v>
      </c>
    </row>
    <row r="14" spans="2:5" ht="12.75" outlineLevel="1">
      <c r="B14" s="105"/>
      <c r="C14" s="136">
        <f>SUM(C11:C13)</f>
        <v>732.94</v>
      </c>
      <c r="D14" t="s">
        <v>358</v>
      </c>
      <c r="E14" s="2"/>
    </row>
    <row r="15" spans="1:5" ht="12.75">
      <c r="A15" t="s">
        <v>503</v>
      </c>
      <c r="B15" s="105">
        <v>195.07</v>
      </c>
      <c r="E15" s="2"/>
    </row>
    <row r="16" spans="2:5" ht="12.75" outlineLevel="1">
      <c r="B16" s="105"/>
      <c r="C16" s="136">
        <v>195.07</v>
      </c>
      <c r="D16" t="s">
        <v>459</v>
      </c>
      <c r="E16" s="2" t="s">
        <v>370</v>
      </c>
    </row>
    <row r="17" spans="1:5" ht="12.75">
      <c r="A17" t="s">
        <v>504</v>
      </c>
      <c r="B17" s="105">
        <v>1124.84</v>
      </c>
      <c r="E17" s="2"/>
    </row>
    <row r="18" spans="2:5" ht="12.75" outlineLevel="1">
      <c r="B18" s="105"/>
      <c r="C18" s="136">
        <v>611.65</v>
      </c>
      <c r="D18" t="s">
        <v>460</v>
      </c>
      <c r="E18" s="2" t="s">
        <v>370</v>
      </c>
    </row>
    <row r="19" spans="2:5" ht="12.75" outlineLevel="1">
      <c r="B19" s="105"/>
      <c r="C19" s="136">
        <v>513.19</v>
      </c>
      <c r="D19" t="s">
        <v>460</v>
      </c>
      <c r="E19" s="2" t="s">
        <v>370</v>
      </c>
    </row>
    <row r="20" spans="2:5" ht="12.75" outlineLevel="1">
      <c r="B20" s="105"/>
      <c r="C20" s="136">
        <f>SUM(C18:C19)</f>
        <v>1124.8400000000001</v>
      </c>
      <c r="D20" t="s">
        <v>358</v>
      </c>
      <c r="E20" s="2"/>
    </row>
    <row r="21" spans="1:5" ht="12.75">
      <c r="A21" t="s">
        <v>439</v>
      </c>
      <c r="B21" s="105">
        <f>SUM(B6:B20)</f>
        <v>3289.6099999999997</v>
      </c>
      <c r="E21" s="2"/>
    </row>
    <row r="22" spans="2:5" ht="12.75">
      <c r="B22" s="105"/>
      <c r="E22" s="2"/>
    </row>
    <row r="23" spans="1:5" ht="12.75">
      <c r="A23" t="s">
        <v>611</v>
      </c>
      <c r="B23" s="136">
        <v>1579.0128</v>
      </c>
      <c r="E23" s="2"/>
    </row>
    <row r="24" spans="2:6" ht="12.75" outlineLevel="1">
      <c r="B24" s="105"/>
      <c r="C24" s="136">
        <f>$B$4*C9</f>
        <v>593.6447999999999</v>
      </c>
      <c r="D24" t="s">
        <v>499</v>
      </c>
      <c r="E24" t="s">
        <v>187</v>
      </c>
      <c r="F24" s="2" t="s">
        <v>189</v>
      </c>
    </row>
    <row r="25" spans="2:6" ht="12.75" outlineLevel="1">
      <c r="B25" s="105"/>
      <c r="C25" s="136">
        <f>$B$4*C14</f>
        <v>351.8112</v>
      </c>
      <c r="D25" t="s">
        <v>625</v>
      </c>
      <c r="E25" t="s">
        <v>182</v>
      </c>
      <c r="F25" s="2" t="s">
        <v>189</v>
      </c>
    </row>
    <row r="26" spans="2:5" ht="12.75" outlineLevel="1">
      <c r="B26" s="105"/>
      <c r="C26" s="136">
        <f>$B$4*C16</f>
        <v>93.63359999999999</v>
      </c>
      <c r="D26" t="s">
        <v>503</v>
      </c>
      <c r="E26" s="2" t="s">
        <v>370</v>
      </c>
    </row>
    <row r="27" spans="2:5" ht="12.75" outlineLevel="1">
      <c r="B27" s="105"/>
      <c r="C27" s="136">
        <f>$B$4*C20</f>
        <v>539.9232000000001</v>
      </c>
      <c r="D27" t="s">
        <v>504</v>
      </c>
      <c r="E27" s="2" t="s">
        <v>370</v>
      </c>
    </row>
    <row r="28" spans="2:5" ht="12.75" outlineLevel="1">
      <c r="B28" s="105"/>
      <c r="C28" s="136">
        <f>SUM(C24:C27)</f>
        <v>1579.0128</v>
      </c>
      <c r="E28" s="2"/>
    </row>
    <row r="29" spans="2:5" ht="12.75">
      <c r="B29" s="105"/>
      <c r="E29" s="2"/>
    </row>
    <row r="30" spans="1:5" ht="12.75">
      <c r="A30" t="s">
        <v>368</v>
      </c>
      <c r="B30" s="105">
        <f>B21+B23</f>
        <v>4868.622799999999</v>
      </c>
      <c r="E30" s="2"/>
    </row>
    <row r="31" spans="2:5" ht="12.75">
      <c r="B31" s="105"/>
      <c r="E31" s="2"/>
    </row>
    <row r="32" spans="2:3" s="2" customFormat="1" ht="12.75">
      <c r="B32" s="156"/>
      <c r="C32" s="151"/>
    </row>
    <row r="33" spans="1:5" ht="12.75">
      <c r="A33" t="s">
        <v>396</v>
      </c>
      <c r="B33" s="105">
        <v>10834.4</v>
      </c>
      <c r="E33" s="2"/>
    </row>
    <row r="34" spans="2:5" ht="12.75" outlineLevel="1">
      <c r="B34" s="105"/>
      <c r="C34" s="136">
        <v>247.5</v>
      </c>
      <c r="D34" t="s">
        <v>466</v>
      </c>
      <c r="E34" t="s">
        <v>62</v>
      </c>
    </row>
    <row r="35" spans="2:5" ht="12.75" outlineLevel="1">
      <c r="B35" s="105"/>
      <c r="C35" s="136">
        <v>1587.53</v>
      </c>
      <c r="D35" t="s">
        <v>467</v>
      </c>
      <c r="E35" t="s">
        <v>68</v>
      </c>
    </row>
    <row r="36" spans="2:7" ht="12.75" outlineLevel="1">
      <c r="B36" s="105"/>
      <c r="C36" s="136">
        <v>1966.31</v>
      </c>
      <c r="D36" s="153" t="s">
        <v>468</v>
      </c>
      <c r="E36" t="s">
        <v>68</v>
      </c>
      <c r="F36" s="139"/>
      <c r="G36" s="140"/>
    </row>
    <row r="37" spans="2:5" ht="12.75" outlineLevel="1">
      <c r="B37" s="105"/>
      <c r="C37" s="136">
        <v>1736.3</v>
      </c>
      <c r="D37" t="s">
        <v>469</v>
      </c>
      <c r="E37" t="s">
        <v>64</v>
      </c>
    </row>
    <row r="38" spans="2:5" ht="12.75" outlineLevel="1">
      <c r="B38" s="105"/>
      <c r="C38" s="136">
        <v>41.9</v>
      </c>
      <c r="D38" t="s">
        <v>470</v>
      </c>
      <c r="E38" t="s">
        <v>64</v>
      </c>
    </row>
    <row r="39" spans="2:5" ht="12.75" outlineLevel="1">
      <c r="B39" s="105"/>
      <c r="C39" s="136">
        <v>3089.78</v>
      </c>
      <c r="D39" t="s">
        <v>471</v>
      </c>
      <c r="E39" t="s">
        <v>68</v>
      </c>
    </row>
    <row r="40" spans="2:5" ht="12.75" outlineLevel="1">
      <c r="B40" s="105"/>
      <c r="C40" s="136">
        <v>2165.08</v>
      </c>
      <c r="D40" t="s">
        <v>472</v>
      </c>
      <c r="E40" t="s">
        <v>68</v>
      </c>
    </row>
    <row r="41" spans="2:5" ht="12.75" outlineLevel="1">
      <c r="B41" s="105"/>
      <c r="C41" s="136">
        <f>SUM(C34:C40)</f>
        <v>10834.4</v>
      </c>
      <c r="E41" s="2"/>
    </row>
    <row r="42" spans="1:5" ht="12.75">
      <c r="A42" t="s">
        <v>368</v>
      </c>
      <c r="B42" s="105">
        <f>SUM(B33:B41)</f>
        <v>10834.4</v>
      </c>
      <c r="E42" s="2"/>
    </row>
    <row r="43" spans="2:5" ht="12.75">
      <c r="B43" s="105"/>
      <c r="E43" s="2"/>
    </row>
    <row r="44" spans="2:5" ht="12.75">
      <c r="B44" s="105"/>
      <c r="E44" s="2"/>
    </row>
    <row r="45" spans="1:2" ht="12.75" collapsed="1">
      <c r="A45" t="s">
        <v>415</v>
      </c>
      <c r="B45" s="105">
        <f>B30+B42</f>
        <v>15703.022799999999</v>
      </c>
    </row>
    <row r="46" ht="12.75">
      <c r="B46" s="105"/>
    </row>
    <row r="47" spans="1:2" ht="12.75">
      <c r="A47" t="s">
        <v>416</v>
      </c>
      <c r="B47" s="105">
        <v>0</v>
      </c>
    </row>
    <row r="48" ht="12.75">
      <c r="B48" s="105"/>
    </row>
    <row r="49" spans="1:2" ht="12.75">
      <c r="A49" t="s">
        <v>417</v>
      </c>
      <c r="B49" s="105">
        <f>B45-B47</f>
        <v>15703.022799999999</v>
      </c>
    </row>
    <row r="51" spans="1:2" ht="12.75">
      <c r="A51" s="2" t="s">
        <v>370</v>
      </c>
      <c r="B51" s="136">
        <f>C26+C27+C16+C18+C19</f>
        <v>1953.4668000000001</v>
      </c>
    </row>
    <row r="52" ht="12.75">
      <c r="A52" s="176" t="s">
        <v>182</v>
      </c>
    </row>
    <row r="53" spans="1:2" ht="12.75">
      <c r="A53" s="176" t="s">
        <v>187</v>
      </c>
      <c r="B53" s="136">
        <f>C24+C7+C8</f>
        <v>1830.4047999999998</v>
      </c>
    </row>
    <row r="54" spans="1:3" ht="12.75">
      <c r="A54" s="2" t="s">
        <v>189</v>
      </c>
      <c r="B54" s="136">
        <f>C25+C11+C12+C13</f>
        <v>1084.7512</v>
      </c>
      <c r="C54" s="2"/>
    </row>
    <row r="55" spans="1:3" ht="12.75">
      <c r="A55" s="2" t="s">
        <v>190</v>
      </c>
      <c r="C55" s="2"/>
    </row>
    <row r="56" spans="1:3" ht="12.75">
      <c r="A56" t="s">
        <v>62</v>
      </c>
      <c r="B56" s="136">
        <f>C34</f>
        <v>247.5</v>
      </c>
      <c r="C56" s="2"/>
    </row>
    <row r="57" spans="1:3" ht="12.75">
      <c r="A57" t="s">
        <v>64</v>
      </c>
      <c r="B57" s="136">
        <f>C37+C38</f>
        <v>1778.2</v>
      </c>
      <c r="C57"/>
    </row>
    <row r="58" spans="1:3" ht="12.75">
      <c r="A58" t="s">
        <v>68</v>
      </c>
      <c r="B58" s="136">
        <f>C40+C39+C36+C35</f>
        <v>8808.7</v>
      </c>
      <c r="C58"/>
    </row>
    <row r="59" spans="2:3" ht="12.75">
      <c r="B59" s="136">
        <f>SUM(B51:B58)</f>
        <v>15703.0228</v>
      </c>
      <c r="C59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J57"/>
  <sheetViews>
    <sheetView workbookViewId="0" topLeftCell="A1">
      <selection activeCell="N21" sqref="N21"/>
    </sheetView>
  </sheetViews>
  <sheetFormatPr defaultColWidth="9.140625" defaultRowHeight="12.75"/>
  <cols>
    <col min="1" max="1" width="8.8515625" style="0" bestFit="1" customWidth="1"/>
    <col min="2" max="2" width="5.7109375" style="0" bestFit="1" customWidth="1"/>
    <col min="3" max="3" width="53.421875" style="0" customWidth="1"/>
    <col min="4" max="4" width="11.421875" style="0" hidden="1" customWidth="1"/>
    <col min="5" max="5" width="14.28125" style="0" hidden="1" customWidth="1"/>
    <col min="6" max="6" width="11.421875" style="0" hidden="1" customWidth="1"/>
    <col min="7" max="7" width="10.140625" style="0" bestFit="1" customWidth="1"/>
    <col min="8" max="8" width="7.140625" style="0" customWidth="1"/>
    <col min="9" max="9" width="12.140625" style="0" customWidth="1"/>
    <col min="10" max="10" width="11.8515625" style="0" customWidth="1"/>
  </cols>
  <sheetData>
    <row r="1" spans="1:10" ht="13.5" thickBot="1">
      <c r="A1" s="248"/>
      <c r="B1" s="249"/>
      <c r="C1" s="248"/>
      <c r="D1" s="250"/>
      <c r="E1" s="250"/>
      <c r="F1" s="250"/>
      <c r="G1" s="250"/>
      <c r="I1" s="518" t="s">
        <v>1231</v>
      </c>
      <c r="J1" s="250"/>
    </row>
    <row r="2" spans="1:10" ht="12.75">
      <c r="A2" s="251" t="s">
        <v>1232</v>
      </c>
      <c r="B2" s="252" t="s">
        <v>1233</v>
      </c>
      <c r="C2" s="251" t="s">
        <v>1234</v>
      </c>
      <c r="D2" s="253" t="s">
        <v>1235</v>
      </c>
      <c r="E2" s="253" t="s">
        <v>1236</v>
      </c>
      <c r="F2" s="253" t="s">
        <v>1237</v>
      </c>
      <c r="G2" s="253" t="s">
        <v>1238</v>
      </c>
      <c r="I2" s="519"/>
      <c r="J2" s="254" t="s">
        <v>1239</v>
      </c>
    </row>
    <row r="3" spans="1:10" ht="12.75">
      <c r="A3" s="248" t="s">
        <v>1240</v>
      </c>
      <c r="B3" s="249">
        <v>15</v>
      </c>
      <c r="C3" s="248" t="s">
        <v>1241</v>
      </c>
      <c r="D3" s="250">
        <v>50000</v>
      </c>
      <c r="E3" s="250">
        <v>0</v>
      </c>
      <c r="F3" s="250">
        <v>50000</v>
      </c>
      <c r="G3" s="250">
        <v>11816.54</v>
      </c>
      <c r="H3" s="258" t="s">
        <v>1289</v>
      </c>
      <c r="I3" s="255"/>
      <c r="J3" s="256">
        <v>38183.46</v>
      </c>
    </row>
    <row r="4" spans="1:10" ht="12.75">
      <c r="A4" s="248" t="s">
        <v>1240</v>
      </c>
      <c r="B4" s="249">
        <v>16</v>
      </c>
      <c r="C4" s="248" t="s">
        <v>1242</v>
      </c>
      <c r="D4" s="250">
        <v>58900</v>
      </c>
      <c r="E4" s="250">
        <v>0</v>
      </c>
      <c r="F4" s="250">
        <v>58900</v>
      </c>
      <c r="G4" s="250">
        <v>56595.71</v>
      </c>
      <c r="H4" t="s">
        <v>1289</v>
      </c>
      <c r="I4" s="255"/>
      <c r="J4" s="256">
        <v>2304.29</v>
      </c>
    </row>
    <row r="5" spans="1:10" ht="12.75">
      <c r="A5" s="248" t="s">
        <v>1240</v>
      </c>
      <c r="B5" s="249">
        <v>17</v>
      </c>
      <c r="C5" s="248" t="s">
        <v>1243</v>
      </c>
      <c r="D5" s="250">
        <v>3941</v>
      </c>
      <c r="E5" s="250">
        <v>0</v>
      </c>
      <c r="F5" s="250">
        <v>3941</v>
      </c>
      <c r="G5" s="250">
        <v>3026.84</v>
      </c>
      <c r="H5" t="s">
        <v>1289</v>
      </c>
      <c r="I5" s="255"/>
      <c r="J5" s="256">
        <v>914.16</v>
      </c>
    </row>
    <row r="6" spans="1:10" ht="12.75">
      <c r="A6" s="248" t="s">
        <v>1240</v>
      </c>
      <c r="B6" s="249">
        <v>18</v>
      </c>
      <c r="C6" s="248" t="s">
        <v>1244</v>
      </c>
      <c r="D6" s="250">
        <v>49442</v>
      </c>
      <c r="E6" s="250">
        <v>0</v>
      </c>
      <c r="F6" s="250">
        <v>49442</v>
      </c>
      <c r="G6" s="250">
        <v>32808.46</v>
      </c>
      <c r="H6" t="s">
        <v>1289</v>
      </c>
      <c r="I6" s="255"/>
      <c r="J6" s="256">
        <v>16633.54</v>
      </c>
    </row>
    <row r="7" spans="1:10" ht="12.75">
      <c r="A7" s="248" t="s">
        <v>1245</v>
      </c>
      <c r="B7" s="249">
        <v>18</v>
      </c>
      <c r="C7" s="248" t="s">
        <v>1244</v>
      </c>
      <c r="D7" s="250">
        <v>742</v>
      </c>
      <c r="E7" s="250">
        <v>0</v>
      </c>
      <c r="F7" s="250">
        <v>742</v>
      </c>
      <c r="G7" s="250">
        <v>0</v>
      </c>
      <c r="I7" s="255"/>
      <c r="J7" s="256">
        <v>742</v>
      </c>
    </row>
    <row r="8" spans="1:10" ht="12.75">
      <c r="A8" s="248" t="s">
        <v>1240</v>
      </c>
      <c r="B8" s="249">
        <v>19</v>
      </c>
      <c r="C8" s="248" t="s">
        <v>1246</v>
      </c>
      <c r="D8" s="250">
        <v>12315</v>
      </c>
      <c r="E8" s="250">
        <v>0</v>
      </c>
      <c r="F8" s="250">
        <v>12315</v>
      </c>
      <c r="G8" s="250">
        <v>10998.55</v>
      </c>
      <c r="H8" t="s">
        <v>1289</v>
      </c>
      <c r="I8" s="255"/>
      <c r="J8" s="256">
        <v>1316.45</v>
      </c>
    </row>
    <row r="9" spans="1:10" ht="12.75">
      <c r="A9" s="248" t="s">
        <v>1245</v>
      </c>
      <c r="B9" s="249">
        <v>19</v>
      </c>
      <c r="C9" s="248" t="s">
        <v>1246</v>
      </c>
      <c r="D9" s="250">
        <v>185</v>
      </c>
      <c r="E9" s="250">
        <v>0</v>
      </c>
      <c r="F9" s="250">
        <v>185</v>
      </c>
      <c r="G9" s="250">
        <v>0</v>
      </c>
      <c r="I9" s="255"/>
      <c r="J9" s="256">
        <v>185</v>
      </c>
    </row>
    <row r="10" spans="1:10" ht="12.75">
      <c r="A10" s="248" t="s">
        <v>1240</v>
      </c>
      <c r="B10" s="249">
        <v>20</v>
      </c>
      <c r="C10" s="248" t="s">
        <v>1247</v>
      </c>
      <c r="D10" s="250">
        <v>24805</v>
      </c>
      <c r="E10" s="250">
        <v>0</v>
      </c>
      <c r="F10" s="250">
        <v>24805</v>
      </c>
      <c r="G10" s="250">
        <v>24805</v>
      </c>
      <c r="H10" t="s">
        <v>1289</v>
      </c>
      <c r="I10" s="255"/>
      <c r="J10" s="256">
        <v>0</v>
      </c>
    </row>
    <row r="11" spans="1:10" ht="12.75">
      <c r="A11" s="248"/>
      <c r="B11" s="249">
        <v>25</v>
      </c>
      <c r="C11" s="248" t="s">
        <v>1248</v>
      </c>
      <c r="D11" s="250">
        <v>61935</v>
      </c>
      <c r="E11" s="250">
        <v>0</v>
      </c>
      <c r="F11" s="250">
        <v>61935</v>
      </c>
      <c r="G11" s="250">
        <v>61935</v>
      </c>
      <c r="H11" t="s">
        <v>1289</v>
      </c>
      <c r="I11" s="255"/>
      <c r="J11" s="256">
        <v>0</v>
      </c>
    </row>
    <row r="12" spans="1:10" ht="12.75">
      <c r="A12" s="248" t="s">
        <v>1245</v>
      </c>
      <c r="B12" s="249">
        <v>25</v>
      </c>
      <c r="C12" s="248" t="s">
        <v>1248</v>
      </c>
      <c r="D12" s="250">
        <v>97008</v>
      </c>
      <c r="E12" s="250">
        <v>0</v>
      </c>
      <c r="F12" s="250">
        <v>97008</v>
      </c>
      <c r="G12" s="250">
        <v>29303.86</v>
      </c>
      <c r="H12" t="s">
        <v>1289</v>
      </c>
      <c r="I12" s="255"/>
      <c r="J12" s="256">
        <v>67704.14</v>
      </c>
    </row>
    <row r="13" spans="1:10" ht="12.75">
      <c r="A13" s="248" t="s">
        <v>1249</v>
      </c>
      <c r="B13" s="249">
        <v>25</v>
      </c>
      <c r="C13" s="248" t="s">
        <v>1248</v>
      </c>
      <c r="D13" s="250">
        <v>107613</v>
      </c>
      <c r="E13" s="250">
        <v>0</v>
      </c>
      <c r="F13" s="250">
        <v>107613</v>
      </c>
      <c r="G13" s="250">
        <v>0</v>
      </c>
      <c r="I13" s="255"/>
      <c r="J13" s="256">
        <v>107613</v>
      </c>
    </row>
    <row r="14" spans="1:10" ht="12.75">
      <c r="A14" s="248" t="s">
        <v>1250</v>
      </c>
      <c r="B14" s="249">
        <v>7</v>
      </c>
      <c r="C14" s="248" t="s">
        <v>1251</v>
      </c>
      <c r="D14" s="250">
        <v>46285</v>
      </c>
      <c r="E14" s="250">
        <v>46285</v>
      </c>
      <c r="F14" s="250">
        <v>0</v>
      </c>
      <c r="G14" s="250">
        <v>0</v>
      </c>
      <c r="I14" s="255"/>
      <c r="J14" s="256">
        <v>0</v>
      </c>
    </row>
    <row r="15" spans="1:10" ht="12.75">
      <c r="A15" s="248" t="s">
        <v>1240</v>
      </c>
      <c r="B15" s="249">
        <v>13</v>
      </c>
      <c r="C15" s="248" t="s">
        <v>1252</v>
      </c>
      <c r="D15" s="250">
        <v>45000</v>
      </c>
      <c r="E15" s="250">
        <v>0</v>
      </c>
      <c r="F15" s="250">
        <v>45000</v>
      </c>
      <c r="G15" s="250">
        <v>15635.64</v>
      </c>
      <c r="H15" t="s">
        <v>1290</v>
      </c>
      <c r="I15" s="255"/>
      <c r="J15" s="256">
        <v>29364.36</v>
      </c>
    </row>
    <row r="16" spans="1:10" ht="12.75">
      <c r="A16" s="248" t="s">
        <v>1250</v>
      </c>
      <c r="B16" s="249">
        <v>8</v>
      </c>
      <c r="C16" s="248" t="s">
        <v>1253</v>
      </c>
      <c r="D16" s="250">
        <v>20571</v>
      </c>
      <c r="E16" s="250">
        <v>20571</v>
      </c>
      <c r="F16" s="250">
        <v>0</v>
      </c>
      <c r="G16" s="250">
        <v>0</v>
      </c>
      <c r="I16" s="255"/>
      <c r="J16" s="256">
        <v>0</v>
      </c>
    </row>
    <row r="17" spans="1:10" ht="12.75">
      <c r="A17" s="248" t="s">
        <v>1254</v>
      </c>
      <c r="B17" s="249">
        <v>14</v>
      </c>
      <c r="C17" s="248" t="s">
        <v>1255</v>
      </c>
      <c r="D17" s="250">
        <v>20571</v>
      </c>
      <c r="E17" s="250">
        <v>20571</v>
      </c>
      <c r="F17" s="250">
        <v>0</v>
      </c>
      <c r="G17" s="250">
        <v>0</v>
      </c>
      <c r="I17" s="255"/>
      <c r="J17" s="256">
        <v>0</v>
      </c>
    </row>
    <row r="18" spans="1:10" ht="12.75">
      <c r="A18" s="248" t="s">
        <v>1250</v>
      </c>
      <c r="B18" s="249">
        <v>9</v>
      </c>
      <c r="C18" s="248" t="s">
        <v>1256</v>
      </c>
      <c r="D18" s="250">
        <v>51429</v>
      </c>
      <c r="E18" s="250">
        <v>51429</v>
      </c>
      <c r="F18" s="250">
        <v>0</v>
      </c>
      <c r="G18" s="250">
        <v>0</v>
      </c>
      <c r="I18" s="255"/>
      <c r="J18" s="256">
        <v>0</v>
      </c>
    </row>
    <row r="19" spans="1:10" ht="12.75">
      <c r="A19" s="248" t="s">
        <v>1240</v>
      </c>
      <c r="B19" s="249">
        <v>12</v>
      </c>
      <c r="C19" s="248" t="s">
        <v>1257</v>
      </c>
      <c r="D19" s="250">
        <v>4899</v>
      </c>
      <c r="E19" s="250">
        <v>0</v>
      </c>
      <c r="F19" s="250">
        <v>4899</v>
      </c>
      <c r="G19" s="250">
        <v>4899</v>
      </c>
      <c r="H19" t="s">
        <v>1289</v>
      </c>
      <c r="I19" s="255"/>
      <c r="J19" s="256">
        <v>0</v>
      </c>
    </row>
    <row r="20" spans="1:10" ht="12.75">
      <c r="A20" s="248" t="s">
        <v>1240</v>
      </c>
      <c r="B20" s="249">
        <v>10</v>
      </c>
      <c r="C20" s="248" t="s">
        <v>1258</v>
      </c>
      <c r="D20" s="250">
        <v>10286</v>
      </c>
      <c r="E20" s="250">
        <v>0</v>
      </c>
      <c r="F20" s="250">
        <v>10286</v>
      </c>
      <c r="G20" s="250">
        <v>10286</v>
      </c>
      <c r="H20" t="s">
        <v>1289</v>
      </c>
      <c r="I20" s="255"/>
      <c r="J20" s="256">
        <v>0</v>
      </c>
    </row>
    <row r="21" spans="1:10" ht="12.75">
      <c r="A21" s="248"/>
      <c r="B21" s="249"/>
      <c r="C21" s="248"/>
      <c r="D21" s="250">
        <v>44831</v>
      </c>
      <c r="E21" s="250">
        <v>0</v>
      </c>
      <c r="F21" s="250">
        <v>44831</v>
      </c>
      <c r="G21" s="250">
        <v>44621.09</v>
      </c>
      <c r="H21" t="s">
        <v>1289</v>
      </c>
      <c r="I21" s="255"/>
      <c r="J21" s="256">
        <v>209.91</v>
      </c>
    </row>
    <row r="22" spans="1:10" ht="12.75">
      <c r="A22" s="248" t="s">
        <v>1245</v>
      </c>
      <c r="B22" s="249">
        <v>10</v>
      </c>
      <c r="C22" s="248" t="s">
        <v>1258</v>
      </c>
      <c r="D22" s="250">
        <v>21495</v>
      </c>
      <c r="E22" s="250">
        <v>0</v>
      </c>
      <c r="F22" s="250">
        <v>21495</v>
      </c>
      <c r="G22" s="250">
        <v>12488.07</v>
      </c>
      <c r="H22" t="s">
        <v>1289</v>
      </c>
      <c r="I22" s="255"/>
      <c r="J22" s="256">
        <v>9006.93</v>
      </c>
    </row>
    <row r="23" spans="1:10" ht="12.75">
      <c r="A23" s="248" t="s">
        <v>1240</v>
      </c>
      <c r="B23" s="249">
        <v>11</v>
      </c>
      <c r="C23" s="248" t="s">
        <v>1259</v>
      </c>
      <c r="D23" s="250">
        <v>2057</v>
      </c>
      <c r="E23" s="250">
        <v>0</v>
      </c>
      <c r="F23" s="250">
        <v>2057</v>
      </c>
      <c r="G23" s="250">
        <v>0</v>
      </c>
      <c r="I23" s="255"/>
      <c r="J23" s="256">
        <v>2057</v>
      </c>
    </row>
    <row r="24" spans="1:10" ht="12.75">
      <c r="A24" s="248" t="s">
        <v>1240</v>
      </c>
      <c r="B24" s="249">
        <v>4</v>
      </c>
      <c r="C24" s="248" t="s">
        <v>1260</v>
      </c>
      <c r="D24" s="250">
        <v>12808</v>
      </c>
      <c r="E24" s="250">
        <v>0</v>
      </c>
      <c r="F24" s="250">
        <v>12808</v>
      </c>
      <c r="G24" s="250">
        <v>12808</v>
      </c>
      <c r="H24" t="s">
        <v>1290</v>
      </c>
      <c r="I24" s="255"/>
      <c r="J24" s="256">
        <v>0</v>
      </c>
    </row>
    <row r="25" spans="1:10" ht="12.75">
      <c r="A25" s="248"/>
      <c r="B25" s="249"/>
      <c r="C25" s="248"/>
      <c r="D25" s="250">
        <v>78814</v>
      </c>
      <c r="E25" s="250">
        <v>0</v>
      </c>
      <c r="F25" s="250">
        <v>78814</v>
      </c>
      <c r="G25" s="250">
        <v>28330.06</v>
      </c>
      <c r="H25" t="s">
        <v>1290</v>
      </c>
      <c r="I25" s="255"/>
      <c r="J25" s="256">
        <v>50483.94</v>
      </c>
    </row>
    <row r="26" spans="1:10" ht="12.75">
      <c r="A26" s="248" t="s">
        <v>1261</v>
      </c>
      <c r="B26" s="249">
        <v>5</v>
      </c>
      <c r="C26" s="248" t="s">
        <v>1262</v>
      </c>
      <c r="D26" s="250">
        <v>4926</v>
      </c>
      <c r="E26" s="250">
        <v>568.94</v>
      </c>
      <c r="F26" s="250">
        <v>4357.06</v>
      </c>
      <c r="G26" s="250">
        <v>0</v>
      </c>
      <c r="I26" s="255"/>
      <c r="J26" s="256">
        <v>4357.06</v>
      </c>
    </row>
    <row r="27" spans="1:10" ht="12.75">
      <c r="A27" s="248" t="s">
        <v>1263</v>
      </c>
      <c r="B27" s="249">
        <v>1</v>
      </c>
      <c r="C27" s="248" t="s">
        <v>1264</v>
      </c>
      <c r="D27" s="250">
        <v>13000</v>
      </c>
      <c r="E27" s="250">
        <v>13000</v>
      </c>
      <c r="F27" s="250">
        <v>0</v>
      </c>
      <c r="G27" s="250">
        <v>0</v>
      </c>
      <c r="I27" s="255"/>
      <c r="J27" s="256">
        <v>0</v>
      </c>
    </row>
    <row r="28" spans="1:10" ht="12.75">
      <c r="A28" s="248"/>
      <c r="B28" s="249">
        <v>2</v>
      </c>
      <c r="C28" s="248" t="s">
        <v>1265</v>
      </c>
      <c r="D28" s="250">
        <v>5000</v>
      </c>
      <c r="E28" s="250">
        <v>5000</v>
      </c>
      <c r="F28" s="250">
        <v>0</v>
      </c>
      <c r="G28" s="250">
        <v>0</v>
      </c>
      <c r="I28" s="255"/>
      <c r="J28" s="256">
        <v>0</v>
      </c>
    </row>
    <row r="29" spans="1:10" ht="12.75">
      <c r="A29" s="248"/>
      <c r="B29" s="249">
        <v>3</v>
      </c>
      <c r="C29" s="248" t="s">
        <v>1266</v>
      </c>
      <c r="D29" s="250">
        <v>48000</v>
      </c>
      <c r="E29" s="250">
        <v>48000</v>
      </c>
      <c r="F29" s="250">
        <v>0</v>
      </c>
      <c r="G29" s="250">
        <v>0</v>
      </c>
      <c r="I29" s="255"/>
      <c r="J29" s="256">
        <v>0</v>
      </c>
    </row>
    <row r="30" spans="1:10" ht="12.75">
      <c r="A30" s="248" t="s">
        <v>1261</v>
      </c>
      <c r="B30" s="249">
        <v>6</v>
      </c>
      <c r="C30" s="248" t="s">
        <v>1267</v>
      </c>
      <c r="D30" s="250">
        <v>47290</v>
      </c>
      <c r="E30" s="250">
        <v>16551.26</v>
      </c>
      <c r="F30" s="250">
        <v>30738.74</v>
      </c>
      <c r="G30" s="250">
        <v>0</v>
      </c>
      <c r="I30" s="255"/>
      <c r="J30" s="256">
        <v>30738.74</v>
      </c>
    </row>
    <row r="31" spans="1:10" ht="12.75">
      <c r="A31" s="248" t="s">
        <v>1268</v>
      </c>
      <c r="B31" s="249">
        <v>6</v>
      </c>
      <c r="C31" s="248" t="s">
        <v>1267</v>
      </c>
      <c r="D31" s="250">
        <v>9444</v>
      </c>
      <c r="E31" s="250">
        <v>9444</v>
      </c>
      <c r="F31" s="250">
        <v>0</v>
      </c>
      <c r="G31" s="250">
        <v>0</v>
      </c>
      <c r="I31" s="255"/>
      <c r="J31" s="256">
        <v>0</v>
      </c>
    </row>
    <row r="32" spans="1:10" ht="12.75">
      <c r="A32" s="248" t="s">
        <v>1240</v>
      </c>
      <c r="B32" s="249">
        <v>21</v>
      </c>
      <c r="C32" s="248" t="s">
        <v>1269</v>
      </c>
      <c r="D32" s="250">
        <v>66033</v>
      </c>
      <c r="E32" s="250">
        <v>0</v>
      </c>
      <c r="F32" s="250">
        <v>66033</v>
      </c>
      <c r="G32" s="250">
        <v>19970.74</v>
      </c>
      <c r="H32" t="s">
        <v>1289</v>
      </c>
      <c r="I32" s="255"/>
      <c r="J32" s="256">
        <v>46062.26</v>
      </c>
    </row>
    <row r="33" spans="1:10" ht="12.75">
      <c r="A33" s="248"/>
      <c r="B33" s="249">
        <v>22</v>
      </c>
      <c r="C33" s="248" t="s">
        <v>1270</v>
      </c>
      <c r="D33" s="250">
        <v>16400</v>
      </c>
      <c r="E33" s="250">
        <v>0</v>
      </c>
      <c r="F33" s="250">
        <v>16400</v>
      </c>
      <c r="G33" s="250">
        <v>16400</v>
      </c>
      <c r="H33" t="s">
        <v>1289</v>
      </c>
      <c r="I33" s="255"/>
      <c r="J33" s="256">
        <v>0</v>
      </c>
    </row>
    <row r="34" spans="1:10" ht="12.75">
      <c r="A34" s="248" t="s">
        <v>1245</v>
      </c>
      <c r="B34" s="249">
        <v>21</v>
      </c>
      <c r="C34" s="248" t="s">
        <v>1269</v>
      </c>
      <c r="D34" s="250">
        <v>424</v>
      </c>
      <c r="E34" s="250">
        <v>0</v>
      </c>
      <c r="F34" s="250">
        <v>424</v>
      </c>
      <c r="G34" s="250">
        <v>0</v>
      </c>
      <c r="I34" s="255"/>
      <c r="J34" s="256">
        <v>424</v>
      </c>
    </row>
    <row r="35" spans="1:10" ht="12.75">
      <c r="A35" s="248"/>
      <c r="B35" s="249">
        <v>22</v>
      </c>
      <c r="C35" s="248" t="s">
        <v>1270</v>
      </c>
      <c r="D35" s="250">
        <v>14350</v>
      </c>
      <c r="E35" s="250">
        <v>0</v>
      </c>
      <c r="F35" s="250">
        <v>14350</v>
      </c>
      <c r="G35" s="250">
        <v>14350</v>
      </c>
      <c r="H35" t="s">
        <v>1289</v>
      </c>
      <c r="I35" s="255"/>
      <c r="J35" s="256">
        <v>0</v>
      </c>
    </row>
    <row r="36" spans="1:10" ht="12.75">
      <c r="A36" s="248" t="s">
        <v>1249</v>
      </c>
      <c r="B36" s="249">
        <v>21</v>
      </c>
      <c r="C36" s="248" t="s">
        <v>1269</v>
      </c>
      <c r="D36" s="250">
        <v>4052</v>
      </c>
      <c r="E36" s="250">
        <v>0</v>
      </c>
      <c r="F36" s="250">
        <v>4052</v>
      </c>
      <c r="G36" s="250">
        <v>0</v>
      </c>
      <c r="I36" s="255"/>
      <c r="J36" s="256">
        <v>4052</v>
      </c>
    </row>
    <row r="37" spans="1:10" ht="12.75">
      <c r="A37" s="248" t="s">
        <v>1240</v>
      </c>
      <c r="B37" s="249">
        <v>23</v>
      </c>
      <c r="C37" s="248" t="s">
        <v>1271</v>
      </c>
      <c r="D37" s="250">
        <v>9225</v>
      </c>
      <c r="E37" s="250">
        <v>0</v>
      </c>
      <c r="F37" s="250">
        <v>9225</v>
      </c>
      <c r="G37" s="250">
        <v>7481.35</v>
      </c>
      <c r="H37" t="s">
        <v>1289</v>
      </c>
      <c r="I37" s="255"/>
      <c r="J37" s="256">
        <v>1743.65</v>
      </c>
    </row>
    <row r="38" spans="1:10" ht="12.75">
      <c r="A38" s="248" t="s">
        <v>1240</v>
      </c>
      <c r="B38" s="249">
        <v>24</v>
      </c>
      <c r="C38" s="248" t="s">
        <v>1272</v>
      </c>
      <c r="D38" s="250">
        <v>24600</v>
      </c>
      <c r="E38" s="250">
        <v>0</v>
      </c>
      <c r="F38" s="250">
        <v>24600</v>
      </c>
      <c r="G38" s="250">
        <v>24600</v>
      </c>
      <c r="H38" t="s">
        <v>1289</v>
      </c>
      <c r="I38" s="255"/>
      <c r="J38" s="256">
        <v>0</v>
      </c>
    </row>
    <row r="39" spans="1:10" ht="12.75">
      <c r="A39" s="248" t="s">
        <v>1249</v>
      </c>
      <c r="B39" s="249">
        <v>29</v>
      </c>
      <c r="C39" s="248" t="s">
        <v>1273</v>
      </c>
      <c r="D39" s="250">
        <v>52594</v>
      </c>
      <c r="E39" s="250">
        <v>0</v>
      </c>
      <c r="F39" s="250">
        <v>52594</v>
      </c>
      <c r="G39" s="250">
        <v>0</v>
      </c>
      <c r="I39" s="255"/>
      <c r="J39" s="256">
        <v>52594</v>
      </c>
    </row>
    <row r="40" spans="1:10" ht="12.75">
      <c r="A40" s="248"/>
      <c r="B40" s="249">
        <v>30</v>
      </c>
      <c r="C40" s="248" t="s">
        <v>1274</v>
      </c>
      <c r="D40" s="250">
        <v>21033</v>
      </c>
      <c r="E40" s="250">
        <v>0</v>
      </c>
      <c r="F40" s="250">
        <v>21033</v>
      </c>
      <c r="G40" s="250">
        <v>0</v>
      </c>
      <c r="I40" s="255"/>
      <c r="J40" s="256">
        <v>21033</v>
      </c>
    </row>
    <row r="41" spans="1:10" ht="12.75">
      <c r="A41" s="248" t="s">
        <v>1249</v>
      </c>
      <c r="B41" s="249">
        <v>31</v>
      </c>
      <c r="C41" s="248" t="s">
        <v>1275</v>
      </c>
      <c r="D41" s="250">
        <v>303254</v>
      </c>
      <c r="E41" s="250">
        <v>0</v>
      </c>
      <c r="F41" s="250">
        <v>303254</v>
      </c>
      <c r="G41" s="250">
        <v>0</v>
      </c>
      <c r="I41" s="255"/>
      <c r="J41" s="256">
        <v>303254</v>
      </c>
    </row>
    <row r="42" spans="1:10" ht="12.75">
      <c r="A42" s="248"/>
      <c r="B42" s="249">
        <v>32</v>
      </c>
      <c r="C42" s="248" t="s">
        <v>1276</v>
      </c>
      <c r="D42" s="250">
        <v>6310</v>
      </c>
      <c r="E42" s="250">
        <v>0</v>
      </c>
      <c r="F42" s="250">
        <v>6310</v>
      </c>
      <c r="G42" s="250">
        <v>0</v>
      </c>
      <c r="I42" s="255"/>
      <c r="J42" s="256">
        <v>6310</v>
      </c>
    </row>
    <row r="43" spans="1:10" ht="12.75">
      <c r="A43" s="248" t="s">
        <v>1249</v>
      </c>
      <c r="B43" s="249">
        <v>33</v>
      </c>
      <c r="C43" s="248" t="s">
        <v>1277</v>
      </c>
      <c r="D43" s="250">
        <v>20742</v>
      </c>
      <c r="E43" s="250">
        <v>0</v>
      </c>
      <c r="F43" s="250">
        <v>20742</v>
      </c>
      <c r="G43" s="250">
        <v>0</v>
      </c>
      <c r="I43" s="255"/>
      <c r="J43" s="256">
        <v>20742</v>
      </c>
    </row>
    <row r="44" spans="1:10" ht="12.75">
      <c r="A44" s="248" t="s">
        <v>1249</v>
      </c>
      <c r="B44" s="249">
        <v>34</v>
      </c>
      <c r="C44" s="248" t="s">
        <v>1278</v>
      </c>
      <c r="D44" s="250">
        <v>42680</v>
      </c>
      <c r="E44" s="250">
        <v>0</v>
      </c>
      <c r="F44" s="250">
        <v>42680</v>
      </c>
      <c r="G44" s="250">
        <v>0</v>
      </c>
      <c r="I44" s="255"/>
      <c r="J44" s="256">
        <v>42680</v>
      </c>
    </row>
    <row r="45" spans="1:10" ht="12.75">
      <c r="A45" s="248" t="s">
        <v>1249</v>
      </c>
      <c r="B45" s="249">
        <v>35</v>
      </c>
      <c r="C45" s="248" t="s">
        <v>1279</v>
      </c>
      <c r="D45" s="250">
        <v>252712</v>
      </c>
      <c r="E45" s="250">
        <v>0</v>
      </c>
      <c r="F45" s="250">
        <v>252712</v>
      </c>
      <c r="G45" s="250">
        <v>0</v>
      </c>
      <c r="I45" s="255"/>
      <c r="J45" s="256">
        <v>252712</v>
      </c>
    </row>
    <row r="46" spans="1:10" ht="12.75">
      <c r="A46" s="248" t="s">
        <v>1249</v>
      </c>
      <c r="B46" s="249">
        <v>36</v>
      </c>
      <c r="C46" s="248" t="s">
        <v>1280</v>
      </c>
      <c r="D46" s="250">
        <v>303254</v>
      </c>
      <c r="E46" s="250">
        <v>0</v>
      </c>
      <c r="F46" s="250">
        <v>303254</v>
      </c>
      <c r="G46" s="250">
        <v>0</v>
      </c>
      <c r="I46" s="255"/>
      <c r="J46" s="256">
        <v>303254</v>
      </c>
    </row>
    <row r="47" spans="1:10" ht="12.75">
      <c r="A47" s="248" t="s">
        <v>1249</v>
      </c>
      <c r="B47" s="249">
        <v>37</v>
      </c>
      <c r="C47" s="248" t="s">
        <v>1281</v>
      </c>
      <c r="D47" s="250">
        <v>6310</v>
      </c>
      <c r="E47" s="250">
        <v>0</v>
      </c>
      <c r="F47" s="250">
        <v>6310</v>
      </c>
      <c r="G47" s="250">
        <v>0</v>
      </c>
      <c r="I47" s="255"/>
      <c r="J47" s="256">
        <v>6310</v>
      </c>
    </row>
    <row r="48" spans="1:10" ht="12.75">
      <c r="A48" s="248" t="s">
        <v>1249</v>
      </c>
      <c r="B48" s="249">
        <v>38</v>
      </c>
      <c r="C48" s="248" t="s">
        <v>1282</v>
      </c>
      <c r="D48" s="250">
        <v>237549</v>
      </c>
      <c r="E48" s="250">
        <v>0</v>
      </c>
      <c r="F48" s="250">
        <v>237549</v>
      </c>
      <c r="G48" s="250">
        <v>0</v>
      </c>
      <c r="I48" s="255"/>
      <c r="J48" s="256">
        <v>237549</v>
      </c>
    </row>
    <row r="49" spans="1:10" ht="12.75">
      <c r="A49" s="248" t="s">
        <v>1249</v>
      </c>
      <c r="B49" s="249">
        <v>39</v>
      </c>
      <c r="C49" s="248" t="s">
        <v>1283</v>
      </c>
      <c r="D49" s="250">
        <v>3155</v>
      </c>
      <c r="E49" s="250">
        <v>0</v>
      </c>
      <c r="F49" s="250">
        <v>3155</v>
      </c>
      <c r="G49" s="250">
        <v>0</v>
      </c>
      <c r="I49" s="255"/>
      <c r="J49" s="256">
        <v>3155</v>
      </c>
    </row>
    <row r="50" spans="1:10" ht="12.75">
      <c r="A50" s="248" t="s">
        <v>1240</v>
      </c>
      <c r="B50" s="249">
        <v>26</v>
      </c>
      <c r="C50" s="248" t="s">
        <v>1285</v>
      </c>
      <c r="D50" s="250">
        <v>5182</v>
      </c>
      <c r="E50" s="250">
        <v>0</v>
      </c>
      <c r="F50" s="250">
        <v>5182</v>
      </c>
      <c r="G50" s="250">
        <v>0</v>
      </c>
      <c r="I50" s="255"/>
      <c r="J50" s="256">
        <v>5182</v>
      </c>
    </row>
    <row r="51" spans="1:10" ht="12.75">
      <c r="A51" s="248" t="s">
        <v>1240</v>
      </c>
      <c r="B51" s="249">
        <v>27</v>
      </c>
      <c r="C51" s="248" t="s">
        <v>1286</v>
      </c>
      <c r="D51" s="250">
        <v>40584</v>
      </c>
      <c r="E51" s="250">
        <v>0</v>
      </c>
      <c r="F51" s="250">
        <v>40584</v>
      </c>
      <c r="G51" s="250">
        <v>7695.39</v>
      </c>
      <c r="H51" t="s">
        <v>1289</v>
      </c>
      <c r="I51" s="255"/>
      <c r="J51" s="256">
        <v>32888.61</v>
      </c>
    </row>
    <row r="52" spans="1:10" ht="12.75">
      <c r="A52" s="248"/>
      <c r="B52" s="249">
        <v>28</v>
      </c>
      <c r="C52" s="248" t="s">
        <v>1287</v>
      </c>
      <c r="D52" s="250">
        <v>15000</v>
      </c>
      <c r="E52" s="250">
        <v>0</v>
      </c>
      <c r="F52" s="250">
        <v>15000</v>
      </c>
      <c r="G52" s="250">
        <v>12877.76</v>
      </c>
      <c r="H52" t="s">
        <v>1289</v>
      </c>
      <c r="I52" s="255"/>
      <c r="J52" s="256">
        <v>2122.24</v>
      </c>
    </row>
    <row r="53" spans="1:10" ht="12.75">
      <c r="A53" s="248"/>
      <c r="B53" s="249"/>
      <c r="C53" s="248"/>
      <c r="D53" s="250"/>
      <c r="E53" s="250"/>
      <c r="F53" s="250"/>
      <c r="G53" s="250"/>
      <c r="I53" s="250"/>
      <c r="J53" s="256"/>
    </row>
    <row r="54" spans="1:10" ht="13.5" thickBot="1">
      <c r="A54" s="248"/>
      <c r="B54" s="249"/>
      <c r="C54" s="248"/>
      <c r="D54" s="250">
        <f>SUM(D3:D7,D8:D9,D10:D11,D12:D13,D14:D15,D16:D17,D18:D19,D20:D21,D22:D22,D23:D25,D26:D29,D30:D31,D32:D33,D34:D35,D36:D36,D37:D40,D41:D42,D43:D52)</f>
        <v>2399035</v>
      </c>
      <c r="E54" s="250">
        <f>SUM(E3:E7,E8:E9,E10:E11,E12:E13,E14:E15,E16:E17,E18:E19,E20:E21,E22:E22,E23:E25,E26:E29,E30:E31,E32:E33,E34:E35,E36:E36,E37:E40,E41:E42,E43:E52)</f>
        <v>231420.2</v>
      </c>
      <c r="F54" s="250">
        <f>SUM(F3:F7,F8:F9,F10:F11,F12:F13,F14:F15,F16:F17,F18:F19,F20:F21,F22:F22,F23:F25,F26:F29,F30:F31,F32:F33,F34:F35,F36:F36,F37:F40,F41:F42,F43:F52)</f>
        <v>2167614.8</v>
      </c>
      <c r="G54" s="250">
        <f>SUM(G3:G7,G8:G9,G10:G11,G12:G13,G14:G15,G16:G17,G18:G19,G20:G21,G22:G22,G23:G25,G26:G29,G30:G31,G32:G33,G34:G35,G36:G36,G37:G40,G41:G42,G43:G52)</f>
        <v>463733.05999999994</v>
      </c>
      <c r="I54" s="250"/>
      <c r="J54" s="257">
        <f>SUM(J3:J7,J8:J9,J10:J11,J12:J13,J14:J15,J16:J17,J18:J19,J20:J21,J22:J22,J23:J25,J26:J29,J30:J31,J32:J33,J34:J35,J36:J36,J37:J40,J41:J42,J43:J52)</f>
        <v>1703881.7400000002</v>
      </c>
    </row>
    <row r="55" spans="1:10" ht="12.75">
      <c r="A55" s="248"/>
      <c r="B55" s="249"/>
      <c r="C55" s="248"/>
      <c r="D55" s="250"/>
      <c r="E55" s="250"/>
      <c r="F55" s="250"/>
      <c r="G55" s="250">
        <f>SUM(G3:G52)</f>
        <v>463733.05999999994</v>
      </c>
      <c r="I55" s="250"/>
      <c r="J55" s="250"/>
    </row>
    <row r="56" spans="1:10" ht="12.75">
      <c r="A56" s="248"/>
      <c r="B56" s="249"/>
      <c r="C56" s="248"/>
      <c r="D56" s="250"/>
      <c r="E56" s="250"/>
      <c r="F56" s="250"/>
      <c r="G56" s="250"/>
      <c r="I56" s="250"/>
      <c r="J56" s="250"/>
    </row>
    <row r="57" spans="1:10" ht="12.75">
      <c r="A57" s="248"/>
      <c r="B57" s="249"/>
      <c r="C57" s="248"/>
      <c r="D57" s="250"/>
      <c r="E57" s="250"/>
      <c r="F57" s="250"/>
      <c r="G57" s="250"/>
      <c r="I57" s="250"/>
      <c r="J57" s="250"/>
    </row>
  </sheetData>
  <mergeCells count="1">
    <mergeCell ref="I1:I2"/>
  </mergeCells>
  <printOptions/>
  <pageMargins left="0.47" right="0.57" top="0.62" bottom="0.65" header="0.5" footer="0.38"/>
  <pageSetup fitToHeight="1" fitToWidth="1" horizontalDpi="600" verticalDpi="600" orientation="portrait" scale="1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2"/>
  <dimension ref="B4:E9"/>
  <sheetViews>
    <sheetView workbookViewId="0" topLeftCell="A1">
      <selection activeCell="F18" sqref="F18"/>
    </sheetView>
  </sheetViews>
  <sheetFormatPr defaultColWidth="9.140625" defaultRowHeight="12.75"/>
  <sheetData>
    <row r="4" spans="3:5" ht="12.75">
      <c r="C4" t="s">
        <v>342</v>
      </c>
      <c r="D4" t="s">
        <v>343</v>
      </c>
      <c r="E4" t="s">
        <v>344</v>
      </c>
    </row>
    <row r="5" spans="2:5" ht="12.75">
      <c r="B5">
        <v>1999</v>
      </c>
      <c r="C5">
        <v>75</v>
      </c>
      <c r="D5">
        <v>60</v>
      </c>
      <c r="E5">
        <v>30</v>
      </c>
    </row>
    <row r="6" spans="2:5" ht="12.75">
      <c r="B6">
        <v>2000</v>
      </c>
      <c r="C6">
        <v>370</v>
      </c>
      <c r="D6">
        <v>185</v>
      </c>
      <c r="E6">
        <v>120</v>
      </c>
    </row>
    <row r="7" spans="2:5" ht="12.75">
      <c r="B7">
        <v>2001</v>
      </c>
      <c r="C7">
        <v>300</v>
      </c>
      <c r="D7">
        <v>155</v>
      </c>
      <c r="E7">
        <v>105</v>
      </c>
    </row>
    <row r="8" spans="2:5" ht="12.75">
      <c r="B8">
        <v>2002</v>
      </c>
      <c r="C8">
        <v>200</v>
      </c>
      <c r="D8">
        <v>90</v>
      </c>
      <c r="E8">
        <v>120</v>
      </c>
    </row>
    <row r="9" spans="2:5" ht="12.75">
      <c r="B9">
        <v>2003</v>
      </c>
      <c r="C9">
        <v>40</v>
      </c>
      <c r="D9">
        <v>10</v>
      </c>
      <c r="E9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outlinePr summaryBelow="0"/>
  </sheetPr>
  <dimension ref="A1:G73"/>
  <sheetViews>
    <sheetView workbookViewId="0" topLeftCell="A1">
      <selection activeCell="A6" sqref="A6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474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498</v>
      </c>
      <c r="B6" s="105">
        <v>8978.18</v>
      </c>
      <c r="E6" s="2"/>
    </row>
    <row r="7" spans="2:5" ht="12.75" outlineLevel="1">
      <c r="B7" s="105"/>
      <c r="C7" s="136">
        <v>7095.66</v>
      </c>
      <c r="D7" t="s">
        <v>478</v>
      </c>
      <c r="E7" s="2" t="s">
        <v>124</v>
      </c>
    </row>
    <row r="8" spans="2:5" ht="12.75" outlineLevel="1">
      <c r="B8" s="105"/>
      <c r="C8" s="136">
        <v>1882.52</v>
      </c>
      <c r="D8" t="s">
        <v>479</v>
      </c>
      <c r="E8" s="2" t="s">
        <v>124</v>
      </c>
    </row>
    <row r="9" spans="2:5" ht="12.75" outlineLevel="1">
      <c r="B9" s="105"/>
      <c r="C9" s="136">
        <f>SUM(C7:C8)</f>
        <v>8978.18</v>
      </c>
      <c r="D9" t="s">
        <v>358</v>
      </c>
      <c r="E9" s="2"/>
    </row>
    <row r="10" spans="2:5" ht="12.75">
      <c r="B10" s="105"/>
      <c r="E10" s="2"/>
    </row>
    <row r="11" spans="1:5" ht="12.75">
      <c r="A11" t="s">
        <v>499</v>
      </c>
      <c r="B11" s="105">
        <v>1810.97</v>
      </c>
      <c r="E11" s="2"/>
    </row>
    <row r="12" spans="2:5" ht="12.75" outlineLevel="1">
      <c r="B12" s="105"/>
      <c r="C12" s="136">
        <v>618.38</v>
      </c>
      <c r="D12" t="s">
        <v>475</v>
      </c>
      <c r="E12" s="2" t="s">
        <v>189</v>
      </c>
    </row>
    <row r="13" spans="2:5" ht="12.75" outlineLevel="1">
      <c r="B13" s="105"/>
      <c r="C13" s="136">
        <v>618.38</v>
      </c>
      <c r="D13" t="s">
        <v>476</v>
      </c>
      <c r="E13" s="2" t="s">
        <v>189</v>
      </c>
    </row>
    <row r="14" spans="2:5" ht="12.75" outlineLevel="1">
      <c r="B14" s="105"/>
      <c r="C14" s="136">
        <v>574.21</v>
      </c>
      <c r="D14" t="s">
        <v>477</v>
      </c>
      <c r="E14" s="2" t="s">
        <v>189</v>
      </c>
    </row>
    <row r="15" spans="2:5" ht="12.75" outlineLevel="1">
      <c r="B15" s="105"/>
      <c r="C15" s="136">
        <f>SUM(C12:C14)</f>
        <v>1810.97</v>
      </c>
      <c r="D15" t="s">
        <v>358</v>
      </c>
      <c r="E15" s="2"/>
    </row>
    <row r="16" spans="2:5" ht="12.75">
      <c r="B16" s="105"/>
      <c r="E16" s="2"/>
    </row>
    <row r="17" spans="1:5" ht="12.75">
      <c r="A17" t="s">
        <v>626</v>
      </c>
      <c r="B17" s="136">
        <v>144.02</v>
      </c>
      <c r="E17" s="2"/>
    </row>
    <row r="18" spans="2:5" ht="12.75" outlineLevel="1">
      <c r="B18" s="105"/>
      <c r="C18" s="136">
        <v>144.02</v>
      </c>
      <c r="D18" t="s">
        <v>627</v>
      </c>
      <c r="E18" s="2" t="s">
        <v>189</v>
      </c>
    </row>
    <row r="19" spans="1:5" ht="12.75">
      <c r="A19" t="s">
        <v>606</v>
      </c>
      <c r="B19" s="105">
        <v>1872.61</v>
      </c>
      <c r="E19" s="2"/>
    </row>
    <row r="20" spans="2:5" ht="12.75" outlineLevel="1">
      <c r="B20" s="105"/>
      <c r="C20" s="136">
        <v>1724.98</v>
      </c>
      <c r="D20" t="s">
        <v>486</v>
      </c>
      <c r="E20" s="2" t="s">
        <v>64</v>
      </c>
    </row>
    <row r="21" spans="2:5" ht="12.75" outlineLevel="1">
      <c r="B21" s="105"/>
      <c r="C21" s="136">
        <v>147.63</v>
      </c>
      <c r="D21" t="s">
        <v>487</v>
      </c>
      <c r="E21" s="2" t="s">
        <v>64</v>
      </c>
    </row>
    <row r="22" spans="2:5" ht="12.75" outlineLevel="1">
      <c r="B22" s="105"/>
      <c r="C22" s="136">
        <f>SUM(C20:C21)</f>
        <v>1872.6100000000001</v>
      </c>
      <c r="D22" t="s">
        <v>358</v>
      </c>
      <c r="E22" s="2"/>
    </row>
    <row r="23" spans="1:5" ht="12.75">
      <c r="A23" t="s">
        <v>504</v>
      </c>
      <c r="B23" s="105">
        <v>4342.63</v>
      </c>
      <c r="E23" s="2"/>
    </row>
    <row r="24" spans="2:5" ht="12.75" outlineLevel="1">
      <c r="B24" s="105"/>
      <c r="C24" s="136">
        <v>10</v>
      </c>
      <c r="D24" t="s">
        <v>480</v>
      </c>
      <c r="E24" s="2" t="s">
        <v>370</v>
      </c>
    </row>
    <row r="25" spans="2:5" ht="12.75" outlineLevel="1">
      <c r="B25" s="105"/>
      <c r="C25" s="136">
        <v>1138.76</v>
      </c>
      <c r="D25" t="s">
        <v>481</v>
      </c>
      <c r="E25" s="2" t="s">
        <v>370</v>
      </c>
    </row>
    <row r="26" spans="2:5" ht="12.75" outlineLevel="1">
      <c r="B26" s="105"/>
      <c r="C26" s="136">
        <v>933.71</v>
      </c>
      <c r="D26" t="s">
        <v>482</v>
      </c>
      <c r="E26" s="2" t="s">
        <v>370</v>
      </c>
    </row>
    <row r="27" spans="2:5" ht="12.75" outlineLevel="1">
      <c r="B27" s="105"/>
      <c r="C27" s="136">
        <v>1207.07</v>
      </c>
      <c r="D27" t="s">
        <v>483</v>
      </c>
      <c r="E27" s="2" t="s">
        <v>370</v>
      </c>
    </row>
    <row r="28" spans="2:5" ht="12.75" outlineLevel="1">
      <c r="B28" s="105"/>
      <c r="C28" s="136">
        <v>605.92</v>
      </c>
      <c r="D28" t="s">
        <v>484</v>
      </c>
      <c r="E28" s="2" t="s">
        <v>370</v>
      </c>
    </row>
    <row r="29" spans="2:5" ht="12.75" outlineLevel="1">
      <c r="B29" s="105"/>
      <c r="C29" s="136">
        <v>10</v>
      </c>
      <c r="D29" t="s">
        <v>480</v>
      </c>
      <c r="E29" s="2" t="s">
        <v>370</v>
      </c>
    </row>
    <row r="30" spans="2:5" ht="12.75" outlineLevel="1">
      <c r="B30" s="105"/>
      <c r="C30" s="136">
        <v>-555.92</v>
      </c>
      <c r="D30" t="s">
        <v>485</v>
      </c>
      <c r="E30" s="2" t="s">
        <v>370</v>
      </c>
    </row>
    <row r="31" spans="2:5" ht="12.75" outlineLevel="1">
      <c r="B31" s="105"/>
      <c r="C31" s="136">
        <v>993.09</v>
      </c>
      <c r="D31" t="s">
        <v>484</v>
      </c>
      <c r="E31" s="2" t="s">
        <v>370</v>
      </c>
    </row>
    <row r="32" spans="2:5" ht="12.75" outlineLevel="1">
      <c r="B32" s="105"/>
      <c r="C32" s="136">
        <f>SUM(C24:C31)</f>
        <v>4342.63</v>
      </c>
      <c r="D32" t="s">
        <v>358</v>
      </c>
      <c r="E32" s="2"/>
    </row>
    <row r="33" spans="1:5" ht="12.75">
      <c r="A33" t="s">
        <v>439</v>
      </c>
      <c r="B33" s="105">
        <f>SUM(B6:B32)</f>
        <v>17148.41</v>
      </c>
      <c r="E33" s="2"/>
    </row>
    <row r="34" spans="2:5" ht="12.75">
      <c r="B34" s="105"/>
      <c r="E34" s="2"/>
    </row>
    <row r="35" spans="1:5" ht="12.75">
      <c r="A35" t="s">
        <v>611</v>
      </c>
      <c r="B35" s="105">
        <v>8231.236799999999</v>
      </c>
      <c r="E35" s="2"/>
    </row>
    <row r="36" spans="2:5" ht="12.75" outlineLevel="1">
      <c r="B36" s="105"/>
      <c r="C36" s="136">
        <f>$B$4*C9</f>
        <v>4309.5264</v>
      </c>
      <c r="D36" t="s">
        <v>498</v>
      </c>
      <c r="E36" s="2" t="s">
        <v>124</v>
      </c>
    </row>
    <row r="37" spans="2:5" ht="12.75" outlineLevel="1">
      <c r="B37" s="105"/>
      <c r="C37" s="136">
        <f>$B$4*C15</f>
        <v>869.2656</v>
      </c>
      <c r="D37" t="s">
        <v>499</v>
      </c>
      <c r="E37" s="2" t="s">
        <v>189</v>
      </c>
    </row>
    <row r="38" spans="2:5" ht="12.75" outlineLevel="1">
      <c r="B38" s="105"/>
      <c r="C38" s="136">
        <f>$B$4*C18</f>
        <v>69.1296</v>
      </c>
      <c r="D38" t="s">
        <v>626</v>
      </c>
      <c r="E38" s="2" t="s">
        <v>124</v>
      </c>
    </row>
    <row r="39" spans="2:5" ht="12.75" outlineLevel="1">
      <c r="B39" s="105"/>
      <c r="C39" s="136">
        <f>$B$4*C22</f>
        <v>898.8528</v>
      </c>
      <c r="D39" t="s">
        <v>606</v>
      </c>
      <c r="E39" s="2" t="s">
        <v>64</v>
      </c>
    </row>
    <row r="40" spans="2:5" ht="12.75" outlineLevel="1">
      <c r="B40" s="105"/>
      <c r="C40" s="136">
        <f>$B$4*C32</f>
        <v>2084.4624</v>
      </c>
      <c r="D40" t="s">
        <v>504</v>
      </c>
      <c r="E40" s="2" t="s">
        <v>370</v>
      </c>
    </row>
    <row r="41" spans="2:5" ht="12.75" outlineLevel="1">
      <c r="B41" s="105"/>
      <c r="C41" s="136">
        <f>SUM(C36:C40)</f>
        <v>8231.236799999999</v>
      </c>
      <c r="D41" t="s">
        <v>358</v>
      </c>
      <c r="E41" s="2"/>
    </row>
    <row r="42" spans="2:5" ht="12.75">
      <c r="B42" s="105"/>
      <c r="E42" s="2"/>
    </row>
    <row r="43" spans="1:5" ht="12.75">
      <c r="A43" t="s">
        <v>368</v>
      </c>
      <c r="B43" s="105">
        <f>B33+B35</f>
        <v>25379.6468</v>
      </c>
      <c r="E43" s="2"/>
    </row>
    <row r="44" spans="2:3" s="68" customFormat="1" ht="12.75">
      <c r="B44" s="154"/>
      <c r="C44" s="155"/>
    </row>
    <row r="45" spans="1:5" ht="12.75">
      <c r="A45" t="s">
        <v>628</v>
      </c>
      <c r="B45" s="105">
        <v>2904</v>
      </c>
      <c r="E45" s="2"/>
    </row>
    <row r="46" spans="2:5" ht="12.75" outlineLevel="1">
      <c r="B46" s="105"/>
      <c r="C46" s="136">
        <v>2904</v>
      </c>
      <c r="D46" t="s">
        <v>488</v>
      </c>
      <c r="E46" t="s">
        <v>70</v>
      </c>
    </row>
    <row r="47" spans="2:5" ht="12.75">
      <c r="B47" s="105"/>
      <c r="E47" s="2"/>
    </row>
    <row r="48" spans="2:5" ht="12.75">
      <c r="B48" s="105"/>
      <c r="E48" s="2"/>
    </row>
    <row r="49" spans="1:5" ht="12.75">
      <c r="A49" t="s">
        <v>594</v>
      </c>
      <c r="B49" s="105">
        <v>11079.01</v>
      </c>
      <c r="E49" s="2"/>
    </row>
    <row r="50" spans="2:5" ht="12.75" outlineLevel="1">
      <c r="B50" s="105"/>
      <c r="C50" s="136">
        <v>5.89</v>
      </c>
      <c r="D50" t="s">
        <v>489</v>
      </c>
      <c r="E50" s="2" t="s">
        <v>62</v>
      </c>
    </row>
    <row r="51" spans="2:5" ht="12.75" outlineLevel="1">
      <c r="B51" s="105"/>
      <c r="C51" s="151">
        <v>1948.52</v>
      </c>
      <c r="D51" t="s">
        <v>632</v>
      </c>
      <c r="E51" s="2" t="s">
        <v>60</v>
      </c>
    </row>
    <row r="52" spans="2:7" ht="12.75" outlineLevel="1">
      <c r="B52" s="105"/>
      <c r="C52" s="158">
        <v>1748.4</v>
      </c>
      <c r="D52" s="153" t="s">
        <v>633</v>
      </c>
      <c r="E52" s="2" t="s">
        <v>60</v>
      </c>
      <c r="F52" s="139"/>
      <c r="G52" s="140"/>
    </row>
    <row r="53" spans="2:5" ht="12.75" outlineLevel="1">
      <c r="B53" s="105"/>
      <c r="C53" s="159">
        <v>733.68</v>
      </c>
      <c r="D53" t="s">
        <v>634</v>
      </c>
      <c r="E53" s="2" t="s">
        <v>60</v>
      </c>
    </row>
    <row r="54" spans="2:5" ht="12.75" outlineLevel="1">
      <c r="B54" s="105"/>
      <c r="C54" s="159">
        <v>796</v>
      </c>
      <c r="D54" t="s">
        <v>635</v>
      </c>
      <c r="E54" s="2" t="s">
        <v>60</v>
      </c>
    </row>
    <row r="55" spans="2:5" ht="12.75" outlineLevel="1">
      <c r="B55" s="105"/>
      <c r="C55" s="136">
        <v>1042.55</v>
      </c>
      <c r="D55" t="s">
        <v>490</v>
      </c>
      <c r="E55" s="2" t="s">
        <v>62</v>
      </c>
    </row>
    <row r="56" spans="2:5" ht="12.75" outlineLevel="1">
      <c r="B56" s="105"/>
      <c r="C56" s="136">
        <v>1828.91</v>
      </c>
      <c r="D56" t="s">
        <v>636</v>
      </c>
      <c r="E56" s="2" t="s">
        <v>189</v>
      </c>
    </row>
    <row r="57" spans="2:5" ht="12.75" outlineLevel="1">
      <c r="B57" s="105"/>
      <c r="C57" s="136">
        <v>398</v>
      </c>
      <c r="D57" t="s">
        <v>637</v>
      </c>
      <c r="E57" s="2" t="s">
        <v>189</v>
      </c>
    </row>
    <row r="58" spans="2:5" ht="12.75" outlineLevel="1">
      <c r="B58" s="105"/>
      <c r="C58" s="136">
        <v>2577.06</v>
      </c>
      <c r="D58" t="s">
        <v>674</v>
      </c>
      <c r="E58" s="2" t="s">
        <v>189</v>
      </c>
    </row>
    <row r="59" spans="2:5" ht="12.75" outlineLevel="1">
      <c r="B59" s="105"/>
      <c r="C59" s="136">
        <f>SUM(C50:C58)</f>
        <v>11079.01</v>
      </c>
      <c r="E59" s="2"/>
    </row>
    <row r="60" spans="1:2" ht="12.75" collapsed="1">
      <c r="A60" t="s">
        <v>415</v>
      </c>
      <c r="B60" s="105">
        <f>B43+B45+B49</f>
        <v>39362.6568</v>
      </c>
    </row>
    <row r="61" ht="12.75">
      <c r="B61" s="105"/>
    </row>
    <row r="62" spans="1:2" ht="12.75">
      <c r="A62" t="s">
        <v>416</v>
      </c>
      <c r="B62" s="105">
        <v>0</v>
      </c>
    </row>
    <row r="63" ht="12.75">
      <c r="B63" s="105"/>
    </row>
    <row r="64" spans="1:2" ht="12.75">
      <c r="A64" t="s">
        <v>417</v>
      </c>
      <c r="B64" s="105">
        <f>B60-B62</f>
        <v>39362.6568</v>
      </c>
    </row>
    <row r="66" spans="1:2" ht="12.75">
      <c r="A66" s="2" t="s">
        <v>370</v>
      </c>
      <c r="B66" s="136">
        <f>C40+SUM(C24:C31)</f>
        <v>6427.0923999999995</v>
      </c>
    </row>
    <row r="67" spans="1:3" ht="12.75">
      <c r="A67" s="2" t="s">
        <v>64</v>
      </c>
      <c r="B67" s="136">
        <f>C39+C20+C21</f>
        <v>2771.4628000000002</v>
      </c>
      <c r="C67" s="2"/>
    </row>
    <row r="68" spans="1:3" ht="12.75">
      <c r="A68" s="2" t="s">
        <v>189</v>
      </c>
      <c r="B68" s="136">
        <f>SUM(C56:C58)+C37+C18+C12+C13+C14</f>
        <v>7628.2256</v>
      </c>
      <c r="C68" s="2"/>
    </row>
    <row r="69" spans="1:3" ht="12.75">
      <c r="A69" s="2" t="s">
        <v>60</v>
      </c>
      <c r="B69" s="136">
        <f>SUM(C51:C54)</f>
        <v>5226.6</v>
      </c>
      <c r="C69" s="2"/>
    </row>
    <row r="70" spans="1:3" ht="12.75">
      <c r="A70" t="s">
        <v>62</v>
      </c>
      <c r="B70" s="136">
        <f>C50+C55</f>
        <v>1048.44</v>
      </c>
      <c r="C70"/>
    </row>
    <row r="71" spans="1:3" ht="12.75">
      <c r="A71" s="2" t="s">
        <v>124</v>
      </c>
      <c r="B71" s="136">
        <f>C36+C38+C7+C8</f>
        <v>13356.836</v>
      </c>
      <c r="C71"/>
    </row>
    <row r="72" spans="1:3" ht="12.75">
      <c r="A72" t="s">
        <v>70</v>
      </c>
      <c r="B72" s="136">
        <f>C46</f>
        <v>2904</v>
      </c>
      <c r="C72"/>
    </row>
    <row r="73" ht="12.75">
      <c r="B73" s="136">
        <f>SUM(B66:B72)</f>
        <v>39362.6568</v>
      </c>
    </row>
  </sheetData>
  <printOptions/>
  <pageMargins left="0.75" right="0.75" top="1" bottom="1" header="0.5" footer="0.5"/>
  <pageSetup horizontalDpi="204" verticalDpi="20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outlinePr summaryBelow="0"/>
  </sheetPr>
  <dimension ref="A1:E63"/>
  <sheetViews>
    <sheetView workbookViewId="0" topLeftCell="A3">
      <selection activeCell="A56" sqref="A56:B59"/>
    </sheetView>
  </sheetViews>
  <sheetFormatPr defaultColWidth="9.140625" defaultRowHeight="12.75" outlineLevelRow="1"/>
  <cols>
    <col min="1" max="1" width="43.140625" style="0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491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498</v>
      </c>
      <c r="B6" s="105">
        <v>2178.09</v>
      </c>
      <c r="E6" s="2"/>
    </row>
    <row r="7" spans="2:5" ht="12.75" outlineLevel="1">
      <c r="B7" s="105"/>
      <c r="C7" s="136">
        <v>-1882.52</v>
      </c>
      <c r="D7" t="s">
        <v>492</v>
      </c>
      <c r="E7" s="2" t="s">
        <v>124</v>
      </c>
    </row>
    <row r="8" spans="2:5" ht="12.75" outlineLevel="1">
      <c r="B8" s="105"/>
      <c r="C8" s="136">
        <v>2027.73</v>
      </c>
      <c r="D8" t="s">
        <v>493</v>
      </c>
      <c r="E8" s="2" t="s">
        <v>124</v>
      </c>
    </row>
    <row r="9" spans="2:5" ht="12.75" outlineLevel="1">
      <c r="B9" s="105"/>
      <c r="C9" s="136">
        <v>2032.88</v>
      </c>
      <c r="D9" t="s">
        <v>494</v>
      </c>
      <c r="E9" s="2" t="s">
        <v>124</v>
      </c>
    </row>
    <row r="10" spans="2:5" ht="12.75" outlineLevel="1">
      <c r="B10" s="105"/>
      <c r="C10" s="136">
        <f>SUM(C7:C9)</f>
        <v>2178.09</v>
      </c>
      <c r="D10" t="s">
        <v>358</v>
      </c>
      <c r="E10" s="2"/>
    </row>
    <row r="11" spans="1:5" ht="12.75">
      <c r="A11" t="s">
        <v>499</v>
      </c>
      <c r="B11" s="105">
        <v>664.36</v>
      </c>
      <c r="E11" s="2"/>
    </row>
    <row r="12" spans="2:5" ht="12.75" outlineLevel="1">
      <c r="B12" s="105"/>
      <c r="C12" s="136">
        <v>-574.21</v>
      </c>
      <c r="D12" t="s">
        <v>506</v>
      </c>
      <c r="E12" s="2" t="s">
        <v>189</v>
      </c>
    </row>
    <row r="13" spans="2:5" ht="12.75" outlineLevel="1">
      <c r="B13" s="105"/>
      <c r="C13" s="136">
        <v>618.5</v>
      </c>
      <c r="D13" t="s">
        <v>495</v>
      </c>
      <c r="E13" s="2" t="s">
        <v>189</v>
      </c>
    </row>
    <row r="14" spans="2:5" ht="12.75" outlineLevel="1">
      <c r="B14" s="105"/>
      <c r="C14" s="136">
        <v>620.07</v>
      </c>
      <c r="D14" t="s">
        <v>496</v>
      </c>
      <c r="E14" s="2" t="s">
        <v>189</v>
      </c>
    </row>
    <row r="15" spans="2:5" ht="12.75" outlineLevel="1">
      <c r="B15" s="105"/>
      <c r="C15" s="136">
        <f>SUM(C12:C14)</f>
        <v>664.36</v>
      </c>
      <c r="D15" t="s">
        <v>358</v>
      </c>
      <c r="E15" s="2"/>
    </row>
    <row r="16" spans="1:5" ht="12.75">
      <c r="A16" t="s">
        <v>500</v>
      </c>
      <c r="B16" s="136">
        <v>129.18</v>
      </c>
      <c r="E16" s="2"/>
    </row>
    <row r="17" spans="2:5" ht="12.75" outlineLevel="1">
      <c r="B17" s="105"/>
      <c r="C17" s="136">
        <v>119.24</v>
      </c>
      <c r="D17" t="s">
        <v>493</v>
      </c>
      <c r="E17" s="2" t="s">
        <v>124</v>
      </c>
    </row>
    <row r="18" spans="2:5" ht="12.75" outlineLevel="1">
      <c r="B18" s="105"/>
      <c r="C18" s="136">
        <v>119.24</v>
      </c>
      <c r="D18" t="s">
        <v>494</v>
      </c>
      <c r="E18" s="2" t="s">
        <v>124</v>
      </c>
    </row>
    <row r="19" spans="2:5" ht="12.75" outlineLevel="1">
      <c r="B19" s="105"/>
      <c r="C19" s="136">
        <v>17.36</v>
      </c>
      <c r="D19" t="s">
        <v>495</v>
      </c>
      <c r="E19" s="2" t="s">
        <v>189</v>
      </c>
    </row>
    <row r="20" spans="2:5" ht="12.75" outlineLevel="1">
      <c r="B20" s="105"/>
      <c r="C20" s="136">
        <v>17.36</v>
      </c>
      <c r="D20" t="s">
        <v>496</v>
      </c>
      <c r="E20" s="2" t="s">
        <v>189</v>
      </c>
    </row>
    <row r="21" spans="2:5" ht="12.75" outlineLevel="1">
      <c r="B21" s="105"/>
      <c r="C21" s="136">
        <v>-144.02</v>
      </c>
      <c r="D21" t="s">
        <v>497</v>
      </c>
      <c r="E21" s="2" t="s">
        <v>124</v>
      </c>
    </row>
    <row r="22" spans="2:5" ht="12.75" outlineLevel="1">
      <c r="B22" s="105"/>
      <c r="C22" s="136">
        <f>SUM(C17:C21)</f>
        <v>129.17999999999998</v>
      </c>
      <c r="D22" t="s">
        <v>358</v>
      </c>
      <c r="E22" s="2"/>
    </row>
    <row r="23" spans="1:5" ht="12.75">
      <c r="A23" t="s">
        <v>631</v>
      </c>
      <c r="B23" s="136">
        <v>-2585.07</v>
      </c>
      <c r="E23" s="2"/>
    </row>
    <row r="24" spans="2:5" ht="12.75" outlineLevel="1">
      <c r="B24" s="105"/>
      <c r="C24" s="136">
        <v>-26.24</v>
      </c>
      <c r="D24" t="s">
        <v>629</v>
      </c>
      <c r="E24" s="2" t="s">
        <v>187</v>
      </c>
    </row>
    <row r="25" spans="2:5" ht="12.75" outlineLevel="1">
      <c r="B25" s="105"/>
      <c r="C25" s="136">
        <v>-120.94</v>
      </c>
      <c r="D25" t="s">
        <v>501</v>
      </c>
      <c r="E25" s="2" t="s">
        <v>187</v>
      </c>
    </row>
    <row r="26" spans="2:5" ht="12.75" outlineLevel="1">
      <c r="B26" s="105"/>
      <c r="C26" s="136">
        <v>-177</v>
      </c>
      <c r="D26" t="s">
        <v>501</v>
      </c>
      <c r="E26" s="2" t="s">
        <v>187</v>
      </c>
    </row>
    <row r="27" spans="2:5" ht="12.75" outlineLevel="1">
      <c r="B27" s="105"/>
      <c r="C27" s="136">
        <v>-2260.89</v>
      </c>
      <c r="D27" t="s">
        <v>501</v>
      </c>
      <c r="E27" s="2" t="s">
        <v>187</v>
      </c>
    </row>
    <row r="28" spans="2:5" ht="12.75" outlineLevel="1">
      <c r="B28" s="105"/>
      <c r="C28" s="136">
        <f>SUM(C24:C27)</f>
        <v>-2585.0699999999997</v>
      </c>
      <c r="D28" t="s">
        <v>358</v>
      </c>
      <c r="E28" s="2"/>
    </row>
    <row r="29" spans="1:5" ht="12.75">
      <c r="A29" t="s">
        <v>439</v>
      </c>
      <c r="B29" s="105">
        <f>SUM(B6:B28)</f>
        <v>386.55999999999995</v>
      </c>
      <c r="E29" s="2"/>
    </row>
    <row r="30" spans="2:5" ht="12.75">
      <c r="B30" s="105"/>
      <c r="E30" s="2"/>
    </row>
    <row r="31" spans="1:5" ht="12.75">
      <c r="A31" t="s">
        <v>507</v>
      </c>
      <c r="B31" s="136">
        <v>1426.3824000000002</v>
      </c>
      <c r="E31" s="2"/>
    </row>
    <row r="32" spans="2:5" ht="12.75" outlineLevel="1">
      <c r="B32" s="105"/>
      <c r="C32" s="136">
        <f>$B$4*C10</f>
        <v>1045.4832000000001</v>
      </c>
      <c r="D32" t="s">
        <v>498</v>
      </c>
      <c r="E32" s="2" t="s">
        <v>124</v>
      </c>
    </row>
    <row r="33" spans="2:5" ht="12.75" outlineLevel="1">
      <c r="B33" s="105"/>
      <c r="C33" s="136">
        <f>$B$4*C15</f>
        <v>318.8928</v>
      </c>
      <c r="D33" t="s">
        <v>499</v>
      </c>
      <c r="E33" s="2" t="s">
        <v>189</v>
      </c>
    </row>
    <row r="34" spans="2:5" ht="12.75" outlineLevel="1">
      <c r="B34" s="105"/>
      <c r="C34" s="136">
        <f>$B$4*C22</f>
        <v>62.006399999999985</v>
      </c>
      <c r="D34" t="s">
        <v>500</v>
      </c>
      <c r="E34" s="2" t="s">
        <v>124</v>
      </c>
    </row>
    <row r="35" spans="2:4" ht="12.75" outlineLevel="1">
      <c r="B35" s="105"/>
      <c r="C35" s="136">
        <f>SUM(C32:C34)</f>
        <v>1426.3824000000002</v>
      </c>
      <c r="D35" t="s">
        <v>358</v>
      </c>
    </row>
    <row r="36" ht="12.75" outlineLevel="1">
      <c r="B36" s="105"/>
    </row>
    <row r="37" ht="12.75" outlineLevel="1">
      <c r="B37" s="105"/>
    </row>
    <row r="38" spans="1:2" ht="12.75" outlineLevel="1">
      <c r="A38" t="s">
        <v>509</v>
      </c>
      <c r="B38" s="105">
        <f>B29+B31</f>
        <v>1812.9424000000001</v>
      </c>
    </row>
    <row r="39" ht="12.75" outlineLevel="1">
      <c r="B39" s="105"/>
    </row>
    <row r="40" spans="1:5" ht="12.75">
      <c r="A40" t="s">
        <v>502</v>
      </c>
      <c r="B40" s="105">
        <v>2585.07</v>
      </c>
      <c r="E40" s="2"/>
    </row>
    <row r="41" spans="2:5" ht="12.75" outlineLevel="1">
      <c r="B41" s="105"/>
      <c r="C41" s="136">
        <v>26.24</v>
      </c>
      <c r="D41" t="s">
        <v>630</v>
      </c>
      <c r="E41" s="2" t="s">
        <v>187</v>
      </c>
    </row>
    <row r="42" spans="2:5" ht="12.75" outlineLevel="1">
      <c r="B42" s="105"/>
      <c r="C42" s="136">
        <v>120.94</v>
      </c>
      <c r="D42" t="s">
        <v>501</v>
      </c>
      <c r="E42" s="2" t="s">
        <v>187</v>
      </c>
    </row>
    <row r="43" spans="2:5" ht="12.75" outlineLevel="1">
      <c r="B43" s="105"/>
      <c r="C43" s="136">
        <v>177</v>
      </c>
      <c r="D43" t="s">
        <v>501</v>
      </c>
      <c r="E43" s="2" t="s">
        <v>187</v>
      </c>
    </row>
    <row r="44" spans="2:5" ht="12.75" outlineLevel="1">
      <c r="B44" s="105"/>
      <c r="C44" s="136">
        <v>2260.89</v>
      </c>
      <c r="D44" t="s">
        <v>501</v>
      </c>
      <c r="E44" s="2" t="s">
        <v>187</v>
      </c>
    </row>
    <row r="45" spans="2:5" ht="12.75" outlineLevel="1">
      <c r="B45" s="105"/>
      <c r="C45" s="136">
        <f>SUM(C41:C44)</f>
        <v>2585.0699999999997</v>
      </c>
      <c r="D45" t="s">
        <v>358</v>
      </c>
      <c r="E45" s="2"/>
    </row>
    <row r="46" spans="1:5" ht="12.75">
      <c r="A46" t="s">
        <v>508</v>
      </c>
      <c r="B46" s="105">
        <v>33.25</v>
      </c>
      <c r="E46" s="2"/>
    </row>
    <row r="47" spans="2:5" ht="12.75" outlineLevel="1">
      <c r="B47" s="105"/>
      <c r="C47" s="140">
        <v>33.25</v>
      </c>
      <c r="D47" t="s">
        <v>505</v>
      </c>
      <c r="E47" s="2" t="s">
        <v>187</v>
      </c>
    </row>
    <row r="48" spans="1:5" ht="12.75">
      <c r="A48" t="s">
        <v>368</v>
      </c>
      <c r="B48" s="105">
        <f>SUM(B40:B47)</f>
        <v>2618.32</v>
      </c>
      <c r="E48" s="2"/>
    </row>
    <row r="49" spans="2:5" ht="12.75">
      <c r="B49" s="105"/>
      <c r="E49" s="2"/>
    </row>
    <row r="50" spans="1:2" ht="12.75" collapsed="1">
      <c r="A50" t="s">
        <v>415</v>
      </c>
      <c r="B50" s="105">
        <f>B38+B48</f>
        <v>4431.2624000000005</v>
      </c>
    </row>
    <row r="51" ht="12.75">
      <c r="B51" s="105"/>
    </row>
    <row r="52" spans="1:2" ht="12.75">
      <c r="A52" t="s">
        <v>416</v>
      </c>
      <c r="B52" s="105">
        <v>0</v>
      </c>
    </row>
    <row r="53" ht="12.75">
      <c r="B53" s="105"/>
    </row>
    <row r="54" spans="1:2" ht="12.75">
      <c r="A54" t="s">
        <v>417</v>
      </c>
      <c r="B54" s="105">
        <f>B50-B52</f>
        <v>4431.2624000000005</v>
      </c>
    </row>
    <row r="56" spans="1:2" ht="12.75">
      <c r="A56" s="2" t="s">
        <v>187</v>
      </c>
      <c r="B56" s="136">
        <f>C47+SUM(C41:C44)+SUM(C24:C27)</f>
        <v>33.25</v>
      </c>
    </row>
    <row r="57" spans="1:3" ht="12.75">
      <c r="A57" s="2" t="s">
        <v>189</v>
      </c>
      <c r="B57" s="136">
        <f>C33+C19+C20+SUM(C12:C14)</f>
        <v>1017.9728</v>
      </c>
      <c r="C57" s="2"/>
    </row>
    <row r="58" spans="1:3" ht="12.75">
      <c r="A58" s="2" t="s">
        <v>124</v>
      </c>
      <c r="B58" s="136">
        <f>C34+C32+C17+C18+C21+SUM(C7:C9)</f>
        <v>3380.0396</v>
      </c>
      <c r="C58" s="2"/>
    </row>
    <row r="59" spans="2:3" ht="12.75">
      <c r="B59" s="136">
        <f>SUM(B56:B58)</f>
        <v>4431.2624</v>
      </c>
      <c r="C59" s="2"/>
    </row>
    <row r="60" spans="2:3" ht="12.75">
      <c r="B60" s="136"/>
      <c r="C60"/>
    </row>
    <row r="61" spans="2:3" ht="12.75">
      <c r="B61" s="136"/>
      <c r="C61"/>
    </row>
    <row r="62" spans="2:3" ht="12.75">
      <c r="B62" s="136"/>
      <c r="C62"/>
    </row>
    <row r="63" ht="12.75">
      <c r="B63" s="13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outlinePr summaryBelow="0"/>
  </sheetPr>
  <dimension ref="A1:F62"/>
  <sheetViews>
    <sheetView workbookViewId="0" topLeftCell="A1">
      <selection activeCell="A58" sqref="A58"/>
    </sheetView>
  </sheetViews>
  <sheetFormatPr defaultColWidth="9.140625" defaultRowHeight="12.75" outlineLevelRow="1"/>
  <cols>
    <col min="1" max="1" width="43.140625" style="0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510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498</v>
      </c>
      <c r="B6" s="105">
        <v>6098.64</v>
      </c>
      <c r="E6" s="2"/>
    </row>
    <row r="7" spans="2:5" ht="12.75" outlineLevel="1">
      <c r="B7" s="105"/>
      <c r="C7" s="136">
        <v>2032.88</v>
      </c>
      <c r="D7" t="s">
        <v>511</v>
      </c>
      <c r="E7" s="2" t="s">
        <v>124</v>
      </c>
    </row>
    <row r="8" spans="2:5" ht="12.75" outlineLevel="1">
      <c r="B8" s="105"/>
      <c r="C8" s="136">
        <v>2032.88</v>
      </c>
      <c r="D8" t="s">
        <v>512</v>
      </c>
      <c r="E8" s="2" t="s">
        <v>124</v>
      </c>
    </row>
    <row r="9" spans="2:5" ht="12.75" outlineLevel="1">
      <c r="B9" s="105"/>
      <c r="C9" s="136">
        <v>2032.88</v>
      </c>
      <c r="D9" t="s">
        <v>513</v>
      </c>
      <c r="E9" s="2" t="s">
        <v>124</v>
      </c>
    </row>
    <row r="10" spans="2:5" ht="12.75" outlineLevel="1">
      <c r="B10" s="105"/>
      <c r="C10" s="136">
        <f>SUM(C7:C9)</f>
        <v>6098.64</v>
      </c>
      <c r="D10" t="s">
        <v>358</v>
      </c>
      <c r="E10" s="2"/>
    </row>
    <row r="11" spans="1:5" ht="12.75">
      <c r="A11" t="s">
        <v>499</v>
      </c>
      <c r="B11" s="105">
        <v>1860.21</v>
      </c>
      <c r="E11" s="2"/>
    </row>
    <row r="12" spans="2:5" ht="12.75" outlineLevel="1">
      <c r="B12" s="105"/>
      <c r="C12" s="136">
        <v>620.07</v>
      </c>
      <c r="D12" t="s">
        <v>514</v>
      </c>
      <c r="E12" s="2" t="s">
        <v>189</v>
      </c>
    </row>
    <row r="13" spans="2:5" ht="12.75" outlineLevel="1">
      <c r="B13" s="105"/>
      <c r="C13" s="136">
        <v>620.07</v>
      </c>
      <c r="D13" t="s">
        <v>515</v>
      </c>
      <c r="E13" s="2" t="s">
        <v>189</v>
      </c>
    </row>
    <row r="14" spans="2:5" ht="12.75" outlineLevel="1">
      <c r="B14" s="105"/>
      <c r="C14" s="136">
        <v>620.07</v>
      </c>
      <c r="D14" t="s">
        <v>516</v>
      </c>
      <c r="E14" s="2" t="s">
        <v>189</v>
      </c>
    </row>
    <row r="15" spans="2:5" ht="12.75" outlineLevel="1">
      <c r="B15" s="105"/>
      <c r="C15" s="136">
        <f>SUM(C12:C14)</f>
        <v>1860.21</v>
      </c>
      <c r="D15" t="s">
        <v>358</v>
      </c>
      <c r="E15" s="2"/>
    </row>
    <row r="16" spans="1:5" ht="12.75">
      <c r="A16" t="s">
        <v>500</v>
      </c>
      <c r="B16" s="136">
        <v>273.2</v>
      </c>
      <c r="E16" s="2"/>
    </row>
    <row r="17" spans="2:5" ht="12.75" outlineLevel="1">
      <c r="B17" s="105"/>
      <c r="C17" s="136">
        <v>119.24</v>
      </c>
      <c r="D17" t="s">
        <v>493</v>
      </c>
      <c r="E17" s="2" t="s">
        <v>124</v>
      </c>
    </row>
    <row r="18" spans="2:5" ht="12.75" outlineLevel="1">
      <c r="B18" s="105"/>
      <c r="C18" s="136">
        <v>119.24</v>
      </c>
      <c r="D18" t="s">
        <v>494</v>
      </c>
      <c r="E18" s="2" t="s">
        <v>124</v>
      </c>
    </row>
    <row r="19" spans="2:5" ht="12.75" outlineLevel="1">
      <c r="B19" s="105"/>
      <c r="C19" s="136">
        <v>17.36</v>
      </c>
      <c r="D19" t="s">
        <v>495</v>
      </c>
      <c r="E19" s="2" t="s">
        <v>189</v>
      </c>
    </row>
    <row r="20" spans="2:5" ht="12.75" outlineLevel="1">
      <c r="B20" s="105"/>
      <c r="C20" s="136">
        <v>17.36</v>
      </c>
      <c r="D20" t="s">
        <v>496</v>
      </c>
      <c r="E20" s="2" t="s">
        <v>189</v>
      </c>
    </row>
    <row r="21" spans="2:5" ht="12.75" outlineLevel="1">
      <c r="B21" s="105"/>
      <c r="C21" s="136">
        <f>SUM(C17:C20)</f>
        <v>273.2</v>
      </c>
      <c r="D21" t="s">
        <v>358</v>
      </c>
      <c r="E21" s="2"/>
    </row>
    <row r="22" spans="1:5" ht="12.75">
      <c r="A22" t="s">
        <v>504</v>
      </c>
      <c r="B22" s="136">
        <v>1286.25</v>
      </c>
      <c r="E22" s="2"/>
    </row>
    <row r="23" spans="2:5" ht="12.75" outlineLevel="1">
      <c r="B23" s="105"/>
      <c r="C23" s="136">
        <v>1286.25</v>
      </c>
      <c r="D23" t="s">
        <v>517</v>
      </c>
      <c r="E23" s="2" t="s">
        <v>370</v>
      </c>
    </row>
    <row r="24" spans="1:5" ht="12.75">
      <c r="A24" t="s">
        <v>518</v>
      </c>
      <c r="B24" s="105">
        <v>52.5</v>
      </c>
      <c r="E24" s="2"/>
    </row>
    <row r="25" spans="2:5" ht="12.75" outlineLevel="1">
      <c r="B25" s="105"/>
      <c r="C25" s="136">
        <v>15.6</v>
      </c>
      <c r="D25" t="s">
        <v>519</v>
      </c>
      <c r="E25" t="s">
        <v>70</v>
      </c>
    </row>
    <row r="26" spans="2:5" ht="12.75" outlineLevel="1">
      <c r="B26" s="105"/>
      <c r="C26" s="136">
        <v>36.9</v>
      </c>
      <c r="D26" t="s">
        <v>519</v>
      </c>
      <c r="E26" t="s">
        <v>70</v>
      </c>
    </row>
    <row r="27" spans="2:5" ht="12.75" outlineLevel="1">
      <c r="B27" s="105"/>
      <c r="C27" s="136">
        <f>SUM(C25:C26)</f>
        <v>52.5</v>
      </c>
      <c r="D27" t="s">
        <v>358</v>
      </c>
      <c r="E27" s="2"/>
    </row>
    <row r="28" spans="1:5" ht="12.75">
      <c r="A28" t="s">
        <v>439</v>
      </c>
      <c r="B28" s="105">
        <f>SUM(B6:B24)</f>
        <v>9570.800000000001</v>
      </c>
      <c r="E28" s="2"/>
    </row>
    <row r="29" spans="2:5" ht="12.75">
      <c r="B29" s="105"/>
      <c r="E29" s="2"/>
    </row>
    <row r="30" spans="1:5" ht="12.75">
      <c r="A30" t="s">
        <v>507</v>
      </c>
      <c r="B30" s="105">
        <v>4593.9839999999995</v>
      </c>
      <c r="E30" s="2"/>
    </row>
    <row r="31" spans="2:5" ht="12.75" outlineLevel="1">
      <c r="B31" s="105"/>
      <c r="C31" s="136">
        <f>$B$4*C10</f>
        <v>2927.3472</v>
      </c>
      <c r="D31" t="s">
        <v>498</v>
      </c>
      <c r="E31" s="2" t="s">
        <v>124</v>
      </c>
    </row>
    <row r="32" spans="2:5" ht="12.75" outlineLevel="1">
      <c r="B32" s="105"/>
      <c r="C32" s="136">
        <f>$B$4*C15</f>
        <v>892.9008</v>
      </c>
      <c r="D32" t="s">
        <v>499</v>
      </c>
      <c r="E32" s="2" t="s">
        <v>189</v>
      </c>
    </row>
    <row r="33" spans="2:5" ht="12.75" outlineLevel="1">
      <c r="B33" s="105"/>
      <c r="C33" s="136">
        <f>$B$4*C21</f>
        <v>131.136</v>
      </c>
      <c r="D33" t="s">
        <v>500</v>
      </c>
      <c r="E33" s="2" t="s">
        <v>189</v>
      </c>
    </row>
    <row r="34" spans="2:5" ht="12.75" outlineLevel="1">
      <c r="B34" s="105"/>
      <c r="C34" s="136">
        <f>$B$4*C23</f>
        <v>617.4</v>
      </c>
      <c r="D34" t="s">
        <v>504</v>
      </c>
      <c r="E34" s="2" t="s">
        <v>370</v>
      </c>
    </row>
    <row r="35" spans="2:5" ht="12.75" outlineLevel="1">
      <c r="B35" s="105"/>
      <c r="C35" s="136">
        <f>$B$4*C27</f>
        <v>25.2</v>
      </c>
      <c r="D35" t="s">
        <v>518</v>
      </c>
      <c r="E35" t="s">
        <v>70</v>
      </c>
    </row>
    <row r="36" spans="2:4" ht="12.75" outlineLevel="1">
      <c r="B36" s="105"/>
      <c r="C36" s="136">
        <f>SUM(C31:C35)</f>
        <v>4593.9839999999995</v>
      </c>
      <c r="D36" t="s">
        <v>358</v>
      </c>
    </row>
    <row r="37" ht="12.75">
      <c r="B37" s="105"/>
    </row>
    <row r="38" spans="1:2" ht="12.75">
      <c r="A38" t="s">
        <v>509</v>
      </c>
      <c r="B38" s="105">
        <f>B28+B30</f>
        <v>14164.784</v>
      </c>
    </row>
    <row r="39" ht="12.75">
      <c r="B39" s="105"/>
    </row>
    <row r="40" spans="1:5" ht="12.75">
      <c r="A40" t="s">
        <v>508</v>
      </c>
      <c r="B40" s="105">
        <v>5337.07</v>
      </c>
      <c r="E40" s="2"/>
    </row>
    <row r="41" spans="2:6" ht="12.75" outlineLevel="1">
      <c r="B41" s="105"/>
      <c r="C41" s="143">
        <v>489.1</v>
      </c>
      <c r="D41" t="s">
        <v>520</v>
      </c>
      <c r="E41" t="s">
        <v>193</v>
      </c>
      <c r="F41" s="2" t="s">
        <v>190</v>
      </c>
    </row>
    <row r="42" spans="2:5" ht="12.75" outlineLevel="1">
      <c r="B42" s="105"/>
      <c r="C42" s="136">
        <v>2315.76</v>
      </c>
      <c r="D42" t="s">
        <v>589</v>
      </c>
      <c r="E42" t="s">
        <v>68</v>
      </c>
    </row>
    <row r="43" spans="2:5" ht="12.75" outlineLevel="1">
      <c r="B43" s="105"/>
      <c r="C43" s="136">
        <v>2436.61</v>
      </c>
      <c r="D43" t="s">
        <v>590</v>
      </c>
      <c r="E43" s="2" t="s">
        <v>189</v>
      </c>
    </row>
    <row r="44" spans="2:5" ht="12.75" outlineLevel="1">
      <c r="B44" s="105"/>
      <c r="C44" s="136">
        <v>90.3</v>
      </c>
      <c r="D44" t="s">
        <v>521</v>
      </c>
      <c r="E44" s="2" t="s">
        <v>189</v>
      </c>
    </row>
    <row r="45" spans="2:5" ht="12.75" outlineLevel="1">
      <c r="B45" s="105"/>
      <c r="C45" s="136">
        <v>3.7</v>
      </c>
      <c r="D45" s="157">
        <v>9715</v>
      </c>
      <c r="E45" s="2" t="s">
        <v>190</v>
      </c>
    </row>
    <row r="46" spans="2:5" ht="12.75" outlineLevel="1">
      <c r="B46" s="105"/>
      <c r="C46" s="136">
        <v>1.6</v>
      </c>
      <c r="D46" s="157">
        <v>9725</v>
      </c>
      <c r="E46" s="2" t="s">
        <v>190</v>
      </c>
    </row>
    <row r="47" spans="2:5" ht="12.75" outlineLevel="1">
      <c r="B47" s="105"/>
      <c r="C47" s="140">
        <f>SUM(C41:C46)</f>
        <v>5337.070000000001</v>
      </c>
      <c r="D47" t="s">
        <v>237</v>
      </c>
      <c r="E47" s="2" t="s">
        <v>227</v>
      </c>
    </row>
    <row r="48" spans="1:5" ht="12.75">
      <c r="A48" t="s">
        <v>368</v>
      </c>
      <c r="B48" s="105">
        <f>SUM(B40:B47)</f>
        <v>5337.07</v>
      </c>
      <c r="E48" s="2"/>
    </row>
    <row r="49" spans="2:5" ht="12.75">
      <c r="B49" s="105"/>
      <c r="E49" s="2"/>
    </row>
    <row r="50" spans="1:2" ht="12.75" collapsed="1">
      <c r="A50" t="s">
        <v>415</v>
      </c>
      <c r="B50" s="105">
        <f>B38+B48</f>
        <v>19501.854</v>
      </c>
    </row>
    <row r="51" ht="12.75">
      <c r="B51" s="105"/>
    </row>
    <row r="52" spans="1:2" ht="12.75">
      <c r="A52" t="s">
        <v>416</v>
      </c>
      <c r="B52" s="105">
        <v>0</v>
      </c>
    </row>
    <row r="53" ht="12.75">
      <c r="B53" s="105"/>
    </row>
    <row r="54" spans="1:2" ht="12.75">
      <c r="A54" t="s">
        <v>417</v>
      </c>
      <c r="B54" s="105">
        <f>B50-B52</f>
        <v>19501.854</v>
      </c>
    </row>
    <row r="56" spans="1:2" ht="12.75">
      <c r="A56" s="2" t="s">
        <v>370</v>
      </c>
      <c r="B56" s="136">
        <f>C34+C23</f>
        <v>1903.65</v>
      </c>
    </row>
    <row r="57" spans="1:3" ht="12.75">
      <c r="A57" s="2" t="s">
        <v>193</v>
      </c>
      <c r="B57" s="136">
        <f>C41+C45+C46</f>
        <v>494.40000000000003</v>
      </c>
      <c r="C57" s="2"/>
    </row>
    <row r="58" spans="1:3" ht="12.75">
      <c r="A58" s="2" t="s">
        <v>189</v>
      </c>
      <c r="B58" s="136">
        <f>C43+C44+C32+C33+C19+C20+C12+C13+C14</f>
        <v>5445.8768</v>
      </c>
      <c r="C58" s="2"/>
    </row>
    <row r="59" spans="1:3" ht="12.75">
      <c r="A59" t="s">
        <v>68</v>
      </c>
      <c r="B59" s="136">
        <f>C42</f>
        <v>2315.76</v>
      </c>
      <c r="C59" s="2"/>
    </row>
    <row r="60" spans="1:3" ht="12.75">
      <c r="A60" t="s">
        <v>70</v>
      </c>
      <c r="B60" s="136">
        <f>C35+C25+C26</f>
        <v>77.69999999999999</v>
      </c>
      <c r="C60"/>
    </row>
    <row r="61" spans="1:3" ht="12.75">
      <c r="A61" s="2" t="s">
        <v>124</v>
      </c>
      <c r="B61" s="136">
        <f>C31+C17+C18+C7+C8+C9</f>
        <v>9264.4672</v>
      </c>
      <c r="C61"/>
    </row>
    <row r="62" spans="2:3" ht="12.75">
      <c r="B62" s="136">
        <f>SUM(B56:B61)</f>
        <v>19501.854</v>
      </c>
      <c r="C6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G57"/>
  <sheetViews>
    <sheetView workbookViewId="0" topLeftCell="A4">
      <selection activeCell="D37" sqref="D37"/>
    </sheetView>
  </sheetViews>
  <sheetFormatPr defaultColWidth="9.140625" defaultRowHeight="12.75" outlineLevelRow="1"/>
  <cols>
    <col min="1" max="1" width="33.140625" style="0" bestFit="1" customWidth="1"/>
    <col min="2" max="2" width="12.00390625" style="0" customWidth="1"/>
    <col min="3" max="3" width="11.140625" style="136" customWidth="1"/>
    <col min="4" max="4" width="38.00390625" style="0" customWidth="1"/>
    <col min="5" max="5" width="12.140625" style="0" customWidth="1"/>
  </cols>
  <sheetData>
    <row r="1" ht="12.75">
      <c r="E1" s="2"/>
    </row>
    <row r="2" spans="1:5" ht="12.75">
      <c r="A2" t="s">
        <v>392</v>
      </c>
      <c r="B2" t="s">
        <v>440</v>
      </c>
      <c r="C2"/>
      <c r="E2" s="2"/>
    </row>
    <row r="3" spans="1:5" ht="12.75">
      <c r="A3" t="s">
        <v>394</v>
      </c>
      <c r="B3">
        <v>509604</v>
      </c>
      <c r="C3"/>
      <c r="E3" s="2"/>
    </row>
    <row r="4" spans="1:5" ht="12.75">
      <c r="A4" t="s">
        <v>369</v>
      </c>
      <c r="B4">
        <v>0.48</v>
      </c>
      <c r="C4"/>
      <c r="E4" s="2"/>
    </row>
    <row r="5" spans="2:5" ht="12.75">
      <c r="B5" t="s">
        <v>395</v>
      </c>
      <c r="E5" s="2"/>
    </row>
    <row r="6" spans="1:5" ht="12.75">
      <c r="A6" t="s">
        <v>591</v>
      </c>
      <c r="B6" s="105">
        <v>4065.76</v>
      </c>
      <c r="E6" s="2"/>
    </row>
    <row r="7" spans="2:5" ht="12.75" outlineLevel="1">
      <c r="B7" s="105"/>
      <c r="C7" s="136">
        <v>2032.88</v>
      </c>
      <c r="D7" t="s">
        <v>441</v>
      </c>
      <c r="E7" s="2" t="s">
        <v>124</v>
      </c>
    </row>
    <row r="8" spans="2:5" ht="12.75" outlineLevel="1">
      <c r="B8" s="105"/>
      <c r="C8" s="136">
        <v>2032.88</v>
      </c>
      <c r="D8" t="s">
        <v>442</v>
      </c>
      <c r="E8" s="2" t="s">
        <v>124</v>
      </c>
    </row>
    <row r="9" spans="2:5" ht="12.75" outlineLevel="1">
      <c r="B9" s="105"/>
      <c r="C9" s="136">
        <f>SUM(C7:C8)</f>
        <v>4065.76</v>
      </c>
      <c r="D9" t="s">
        <v>358</v>
      </c>
      <c r="E9" s="2"/>
    </row>
    <row r="10" spans="1:5" ht="12.75">
      <c r="A10" t="s">
        <v>499</v>
      </c>
      <c r="B10" s="105">
        <v>1240.14</v>
      </c>
      <c r="E10" s="2"/>
    </row>
    <row r="11" spans="2:5" ht="12.75" outlineLevel="1">
      <c r="B11" s="105"/>
      <c r="C11" s="136">
        <v>620.07</v>
      </c>
      <c r="D11" t="s">
        <v>443</v>
      </c>
      <c r="E11" s="2" t="s">
        <v>189</v>
      </c>
    </row>
    <row r="12" spans="2:5" ht="12.75" outlineLevel="1">
      <c r="B12" s="105"/>
      <c r="C12" s="136">
        <v>620.07</v>
      </c>
      <c r="D12" t="s">
        <v>444</v>
      </c>
      <c r="E12" s="2" t="s">
        <v>189</v>
      </c>
    </row>
    <row r="13" spans="2:5" ht="12.75" outlineLevel="1">
      <c r="B13" s="105"/>
      <c r="C13" s="136">
        <f>SUM(C11:C12)</f>
        <v>1240.14</v>
      </c>
      <c r="D13" t="s">
        <v>358</v>
      </c>
      <c r="E13" s="2"/>
    </row>
    <row r="14" spans="1:5" ht="12.75">
      <c r="A14" t="s">
        <v>500</v>
      </c>
      <c r="B14" s="105">
        <v>657.46</v>
      </c>
      <c r="E14" s="2"/>
    </row>
    <row r="15" spans="2:5" ht="12.75" outlineLevel="1">
      <c r="B15" s="105"/>
      <c r="C15" s="136">
        <v>192.13</v>
      </c>
      <c r="D15" t="s">
        <v>445</v>
      </c>
      <c r="E15" s="2" t="s">
        <v>124</v>
      </c>
    </row>
    <row r="16" spans="2:5" ht="12.75" outlineLevel="1">
      <c r="B16" s="105"/>
      <c r="C16" s="136">
        <v>192.13</v>
      </c>
      <c r="D16" t="s">
        <v>421</v>
      </c>
      <c r="E16" s="2" t="s">
        <v>124</v>
      </c>
    </row>
    <row r="17" spans="2:5" ht="12.75" outlineLevel="1">
      <c r="B17" s="105"/>
      <c r="C17" s="136">
        <v>119.24</v>
      </c>
      <c r="D17" t="s">
        <v>446</v>
      </c>
      <c r="E17" s="2" t="s">
        <v>189</v>
      </c>
    </row>
    <row r="18" spans="2:5" ht="12.75" outlineLevel="1">
      <c r="B18" s="105"/>
      <c r="C18" s="136">
        <v>119.24</v>
      </c>
      <c r="D18" t="s">
        <v>425</v>
      </c>
      <c r="E18" s="2" t="s">
        <v>189</v>
      </c>
    </row>
    <row r="19" spans="2:5" ht="12.75" outlineLevel="1">
      <c r="B19" s="105"/>
      <c r="C19" s="136">
        <v>17.36</v>
      </c>
      <c r="D19" t="s">
        <v>447</v>
      </c>
      <c r="E19" s="2" t="s">
        <v>124</v>
      </c>
    </row>
    <row r="20" spans="2:5" ht="12.75" outlineLevel="1">
      <c r="B20" s="105"/>
      <c r="C20" s="136">
        <v>17.36</v>
      </c>
      <c r="D20" t="s">
        <v>423</v>
      </c>
      <c r="E20" s="2" t="s">
        <v>124</v>
      </c>
    </row>
    <row r="21" spans="2:5" ht="12.75" outlineLevel="1">
      <c r="B21" s="105"/>
      <c r="C21" s="136">
        <f>SUM(C15:C20)</f>
        <v>657.46</v>
      </c>
      <c r="D21" t="s">
        <v>358</v>
      </c>
      <c r="E21" s="2"/>
    </row>
    <row r="22" spans="1:5" ht="12.75">
      <c r="A22" t="s">
        <v>503</v>
      </c>
      <c r="B22" s="105">
        <v>413.59</v>
      </c>
      <c r="E22" s="2"/>
    </row>
    <row r="23" spans="2:5" ht="12.75" outlineLevel="1">
      <c r="B23" s="105"/>
      <c r="C23" s="136">
        <v>194.28</v>
      </c>
      <c r="D23" t="s">
        <v>448</v>
      </c>
      <c r="E23" s="2" t="s">
        <v>370</v>
      </c>
    </row>
    <row r="24" spans="2:5" ht="12.75" outlineLevel="1">
      <c r="B24" s="105"/>
      <c r="C24" s="136">
        <v>219.31</v>
      </c>
      <c r="D24" t="s">
        <v>449</v>
      </c>
      <c r="E24" s="2" t="s">
        <v>370</v>
      </c>
    </row>
    <row r="25" spans="2:5" ht="12.75" outlineLevel="1">
      <c r="B25" s="105"/>
      <c r="C25" s="136">
        <f>SUM(C23:C24)</f>
        <v>413.59000000000003</v>
      </c>
      <c r="E25" s="2"/>
    </row>
    <row r="26" spans="1:5" ht="12.75">
      <c r="A26" t="s">
        <v>439</v>
      </c>
      <c r="B26" s="105">
        <f>SUM(B6:B25)</f>
        <v>6376.950000000001</v>
      </c>
      <c r="E26" s="2"/>
    </row>
    <row r="27" spans="2:5" ht="12.75">
      <c r="B27" s="105"/>
      <c r="E27" s="2"/>
    </row>
    <row r="28" spans="1:5" ht="12.75">
      <c r="A28" t="s">
        <v>507</v>
      </c>
      <c r="B28" s="105">
        <v>3060.9360000000006</v>
      </c>
      <c r="E28" s="2"/>
    </row>
    <row r="29" spans="2:5" ht="12.75" outlineLevel="1">
      <c r="B29" s="105"/>
      <c r="C29" s="136">
        <f>$B$4*C9</f>
        <v>1951.5648</v>
      </c>
      <c r="D29" t="s">
        <v>591</v>
      </c>
      <c r="E29" s="2" t="s">
        <v>124</v>
      </c>
    </row>
    <row r="30" spans="2:5" ht="12.75" outlineLevel="1">
      <c r="B30" s="105"/>
      <c r="C30" s="136">
        <f>$B$4*C13</f>
        <v>595.2672</v>
      </c>
      <c r="D30" t="s">
        <v>499</v>
      </c>
      <c r="E30" s="2" t="s">
        <v>189</v>
      </c>
    </row>
    <row r="31" spans="2:5" ht="12.75" outlineLevel="1">
      <c r="B31" s="105"/>
      <c r="C31" s="136">
        <f>$B$4*C21</f>
        <v>315.5808</v>
      </c>
      <c r="D31" t="s">
        <v>500</v>
      </c>
      <c r="E31" s="2" t="s">
        <v>124</v>
      </c>
    </row>
    <row r="32" spans="2:5" ht="12.75" outlineLevel="1">
      <c r="B32" s="105"/>
      <c r="C32" s="136">
        <f>$B$4*C25</f>
        <v>198.5232</v>
      </c>
      <c r="D32" t="s">
        <v>503</v>
      </c>
      <c r="E32" s="2" t="s">
        <v>370</v>
      </c>
    </row>
    <row r="33" spans="2:5" ht="12.75" outlineLevel="1">
      <c r="B33" s="105"/>
      <c r="C33" s="136">
        <f>SUM(C29:C32)</f>
        <v>3060.9360000000006</v>
      </c>
      <c r="D33" t="s">
        <v>358</v>
      </c>
      <c r="E33" s="2"/>
    </row>
    <row r="34" spans="1:2" ht="12.75">
      <c r="A34" t="s">
        <v>509</v>
      </c>
      <c r="B34" s="105">
        <f>B26+B28</f>
        <v>9437.886000000002</v>
      </c>
    </row>
    <row r="35" ht="12.75">
      <c r="B35" s="105"/>
    </row>
    <row r="36" spans="1:5" ht="12.75">
      <c r="A36" t="s">
        <v>594</v>
      </c>
      <c r="B36" s="105">
        <v>5004.52</v>
      </c>
      <c r="E36" s="2"/>
    </row>
    <row r="37" spans="2:5" ht="12.75" outlineLevel="1">
      <c r="B37" s="105"/>
      <c r="C37" s="136">
        <v>653.04</v>
      </c>
      <c r="D37" t="s">
        <v>450</v>
      </c>
      <c r="E37" s="2" t="s">
        <v>60</v>
      </c>
    </row>
    <row r="38" spans="2:5" ht="12.75" outlineLevel="1">
      <c r="B38" s="105"/>
      <c r="C38" s="136">
        <v>1469.6</v>
      </c>
      <c r="D38" t="s">
        <v>451</v>
      </c>
      <c r="E38" s="2" t="s">
        <v>189</v>
      </c>
    </row>
    <row r="39" spans="2:7" ht="12.75" outlineLevel="1">
      <c r="B39" s="105"/>
      <c r="C39" s="136">
        <v>1474</v>
      </c>
      <c r="D39" s="138" t="s">
        <v>452</v>
      </c>
      <c r="E39" s="2" t="s">
        <v>190</v>
      </c>
      <c r="F39" s="139"/>
      <c r="G39" s="140"/>
    </row>
    <row r="40" spans="2:5" ht="12.75" outlineLevel="1">
      <c r="B40" s="105"/>
      <c r="C40" s="136">
        <v>1407.88</v>
      </c>
      <c r="D40" t="s">
        <v>453</v>
      </c>
      <c r="E40" s="2" t="s">
        <v>70</v>
      </c>
    </row>
    <row r="41" spans="2:5" ht="12.75" outlineLevel="1">
      <c r="B41" s="105"/>
      <c r="C41" s="136">
        <f>SUM(C37:C40)</f>
        <v>5004.52</v>
      </c>
      <c r="E41" s="2"/>
    </row>
    <row r="42" spans="1:5" ht="12.75">
      <c r="A42" t="s">
        <v>368</v>
      </c>
      <c r="B42" s="105">
        <f>SUM(B36:B41)</f>
        <v>5004.52</v>
      </c>
      <c r="E42" s="2"/>
    </row>
    <row r="43" spans="2:5" ht="12.75">
      <c r="B43" s="105"/>
      <c r="E43" s="2"/>
    </row>
    <row r="44" spans="1:2" ht="12.75">
      <c r="A44" t="s">
        <v>415</v>
      </c>
      <c r="B44" s="105">
        <f>B34+B42</f>
        <v>14442.406000000003</v>
      </c>
    </row>
    <row r="45" ht="12.75">
      <c r="B45" s="105"/>
    </row>
    <row r="46" spans="1:2" ht="12.75">
      <c r="A46" t="s">
        <v>416</v>
      </c>
      <c r="B46" s="105">
        <v>0</v>
      </c>
    </row>
    <row r="47" ht="12.75">
      <c r="B47" s="105"/>
    </row>
    <row r="48" spans="1:2" ht="12.75">
      <c r="A48" t="s">
        <v>417</v>
      </c>
      <c r="B48" s="105">
        <f>B44-B46</f>
        <v>14442.406000000003</v>
      </c>
    </row>
    <row r="51" spans="1:2" ht="12.75">
      <c r="A51" t="s">
        <v>370</v>
      </c>
      <c r="B51" s="136">
        <f>C32+C23+C24</f>
        <v>612.1132</v>
      </c>
    </row>
    <row r="52" spans="1:2" ht="12.75">
      <c r="A52" s="2" t="s">
        <v>189</v>
      </c>
      <c r="B52" s="136">
        <f>C38+C30+C17+C18+C11+C12</f>
        <v>3543.4871999999996</v>
      </c>
    </row>
    <row r="53" spans="1:2" ht="12.75">
      <c r="A53" s="2" t="s">
        <v>190</v>
      </c>
      <c r="B53" s="136">
        <f>C39</f>
        <v>1474</v>
      </c>
    </row>
    <row r="54" spans="1:2" ht="12.75">
      <c r="A54" t="s">
        <v>60</v>
      </c>
      <c r="B54" s="136">
        <f>C37</f>
        <v>653.04</v>
      </c>
    </row>
    <row r="55" spans="1:2" ht="12.75">
      <c r="A55" t="s">
        <v>70</v>
      </c>
      <c r="B55" s="136">
        <f>C40</f>
        <v>1407.88</v>
      </c>
    </row>
    <row r="56" spans="1:2" ht="12.75">
      <c r="A56" s="2" t="s">
        <v>124</v>
      </c>
      <c r="B56" s="136">
        <f>C31+C29+C15+C16+C19+C20+C7+C8</f>
        <v>6751.8856000000005</v>
      </c>
    </row>
    <row r="57" ht="12.75">
      <c r="B57" s="136">
        <f>SUM(B51:B56)</f>
        <v>14442.405999999999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Drew Baden</cp:lastModifiedBy>
  <cp:lastPrinted>2003-02-13T18:42:36Z</cp:lastPrinted>
  <dcterms:created xsi:type="dcterms:W3CDTF">2000-02-26T23:05:58Z</dcterms:created>
  <dcterms:modified xsi:type="dcterms:W3CDTF">2003-04-07T18:13:16Z</dcterms:modified>
  <cp:category/>
  <cp:version/>
  <cp:contentType/>
  <cp:contentStatus/>
</cp:coreProperties>
</file>